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udavar.local\fs\JEGYZO\Kozos\KÉPVISELŐ-TESTÜLET\2022. 05. 12. KÉPVISELŐ-TESTÜLET\Előterjesztések\word\"/>
    </mc:Choice>
  </mc:AlternateContent>
  <bookViews>
    <workbookView xWindow="0" yWindow="0" windowWidth="23040" windowHeight="9195" tabRatio="917" firstSheet="2" activeTab="11"/>
  </bookViews>
  <sheets>
    <sheet name="Támogatások részletezve" sheetId="9" state="hidden" r:id="rId1"/>
    <sheet name="1. mérleg 2020-2022" sheetId="5" state="hidden" r:id="rId2"/>
    <sheet name="1. mell.-mérleg" sheetId="8" r:id="rId3"/>
    <sheet name="2. bevételek" sheetId="6" r:id="rId4"/>
    <sheet name="3. kiadások" sheetId="7" r:id="rId5"/>
    <sheet name="Munka2" sheetId="13" state="hidden" r:id="rId6"/>
    <sheet name="4. közvet tám" sheetId="3" state="hidden" r:id="rId7"/>
    <sheet name="5. ei felhaszn ütem" sheetId="4" state="hidden" r:id="rId8"/>
    <sheet name="6. többéves kihatásu kötelezett" sheetId="2" state="hidden" r:id="rId9"/>
    <sheet name="4. melléklet" sheetId="11" r:id="rId10"/>
    <sheet name="5. melléklet" sheetId="18" state="hidden" r:id="rId11"/>
    <sheet name="5 melléklet" sheetId="10" r:id="rId12"/>
    <sheet name="7. melléklet" sheetId="17" state="hidden" r:id="rId13"/>
    <sheet name="8. melléklet (Lakás tv)" sheetId="15" state="hidden" r:id="rId14"/>
    <sheet name="9. melléklet " sheetId="16" state="hidden" r:id="rId15"/>
    <sheet name="10. melléklet (Uniós tám)" sheetId="14" state="hidden" r:id="rId16"/>
    <sheet name="11. melléklet (KVA)" sheetId="12" state="hidden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1999._Évi_felhalmozási_és_felújítási_kiadások">"$#HIV!.$A$29:$E$29"</definedName>
    <definedName name="_xlnm._FilterDatabase" localSheetId="3" hidden="1">'2. bevételek'!$F$2:$AH$318</definedName>
    <definedName name="_xlnm._FilterDatabase" localSheetId="4" hidden="1">'3. kiadások'!#REF!</definedName>
    <definedName name="_xlnm._FilterDatabase" localSheetId="5" hidden="1">Munka2!$A$1:$D$1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NEMKELL">[1]Bóbita!$A:$B,[1]Bóbita!$1:$1</definedName>
    <definedName name="_xlnm.Print_Titles" localSheetId="2">'1. mell.-mérleg'!$3:$3</definedName>
    <definedName name="_xlnm.Print_Titles" localSheetId="1">'1. mérleg 2020-2022'!$3:$3</definedName>
    <definedName name="_xlnm.Print_Titles" localSheetId="3">'2. bevételek'!$A:$B,'2. bevételek'!$1:$2</definedName>
    <definedName name="_xlnm.Print_Titles" localSheetId="4">'3. kiadások'!$A:$B,'3. kiadások'!$1:$2</definedName>
    <definedName name="_xlnm.Print_Titles" localSheetId="9">'4. melléklet'!$A:$A,'4. melléklet'!$1:$3</definedName>
    <definedName name="_xlnm.Print_Titles" localSheetId="11">'5 melléklet'!$B:$B,'5 melléklet'!$1:$3</definedName>
    <definedName name="_xlnm.Print_Titles" localSheetId="8">'6. többéves kihatásu kötelezett'!$1:$3</definedName>
    <definedName name="_xlnm.Print_Area" localSheetId="2">'1. mell.-mérleg'!$A$1:$J$79</definedName>
    <definedName name="_xlnm.Print_Area" localSheetId="1">'1. mérleg 2020-2022'!$A$1:$P$33</definedName>
    <definedName name="_xlnm.Print_Area" localSheetId="16">'11. melléklet (KVA)'!$A$1:$H$43</definedName>
    <definedName name="_xlnm.Print_Area" localSheetId="3">'2. bevételek'!$A$1:$AL$318</definedName>
    <definedName name="_xlnm.Print_Area" localSheetId="4">'3. kiadások'!$A$1:$AL$315</definedName>
    <definedName name="_xlnm.Print_Area" localSheetId="9">'4. melléklet'!$A$1:$P$267</definedName>
    <definedName name="_xlnm.Print_Area" localSheetId="11">'5 melléklet'!$A$1:$K$57</definedName>
    <definedName name="_xlnm.Print_Area" localSheetId="7">'5. ei felhaszn ütem'!$A$1:$N$28</definedName>
    <definedName name="_xlnm.Print_Area" localSheetId="8">'6. többéves kihatásu kötelezett'!$A$1:$M$20</definedName>
    <definedName name="_xlnm.Print_Area" localSheetId="14">'9. melléklet '!$A$1:$F$32</definedName>
    <definedName name="Print_Titles_1" localSheetId="15">[2]Bóbita!$A$1:$B$65536,[2]Bóbita!$A$1:$IV$1</definedName>
    <definedName name="Print_Titles_1" localSheetId="16">[3]Bóbita!$A$1:$B$65536,[3]Bóbita!$A$1:$IV$1</definedName>
    <definedName name="Print_Titles_1" localSheetId="6">[4]Bóbita!$A:$B,[4]Bóbita!$1:$1</definedName>
    <definedName name="Print_Titles_1" localSheetId="7">[1]Bóbita!$A:$B,[1]Bóbita!$1:$1</definedName>
    <definedName name="Print_Titles_1" localSheetId="8">[1]Bóbita!$A:$B,[1]Bóbita!$1:$1</definedName>
    <definedName name="Print_Titles_1" localSheetId="14">[1]Bóbita!$A:$B,[1]Bóbita!$1:$1</definedName>
    <definedName name="Print_Titles_1">[3]Bóbita!$A:$B,[3]Bóbita!$1:$1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3" i="7" l="1"/>
  <c r="D194" i="7"/>
  <c r="E56" i="10"/>
  <c r="K17" i="8" l="1"/>
  <c r="K13" i="8"/>
  <c r="J11" i="8"/>
  <c r="D265" i="7" l="1"/>
  <c r="D200" i="7"/>
  <c r="D57" i="7"/>
  <c r="D44" i="7"/>
  <c r="D43" i="7"/>
  <c r="D39" i="7"/>
  <c r="D31" i="7"/>
  <c r="D34" i="7"/>
  <c r="D294" i="7" l="1"/>
  <c r="D201" i="7"/>
  <c r="D184" i="7"/>
  <c r="E26" i="10"/>
  <c r="D193" i="7"/>
  <c r="E3" i="10"/>
  <c r="D320" i="6" l="1"/>
  <c r="D6" i="6"/>
  <c r="H197" i="7"/>
  <c r="H50" i="7"/>
  <c r="H41" i="7"/>
  <c r="H40" i="7"/>
  <c r="H8" i="7"/>
  <c r="H4" i="7"/>
  <c r="H6" i="7"/>
  <c r="H3" i="7"/>
  <c r="L201" i="7"/>
  <c r="L35" i="7"/>
  <c r="L34" i="7"/>
  <c r="L40" i="7"/>
  <c r="L12" i="7"/>
  <c r="L8" i="7"/>
  <c r="L3" i="7"/>
  <c r="P200" i="7"/>
  <c r="P201" i="7"/>
  <c r="P39" i="7"/>
  <c r="P40" i="7"/>
  <c r="P35" i="7"/>
  <c r="P34" i="7"/>
  <c r="P12" i="7"/>
  <c r="P8" i="7"/>
  <c r="P6" i="7"/>
  <c r="P4" i="7"/>
  <c r="P3" i="7"/>
  <c r="X3" i="7"/>
  <c r="T5" i="7"/>
  <c r="T3" i="7"/>
  <c r="AF3" i="7"/>
  <c r="AB37" i="7" l="1"/>
  <c r="D79" i="8" l="1"/>
  <c r="D31" i="8"/>
  <c r="I4" i="8"/>
  <c r="I5" i="8"/>
  <c r="AI195" i="7"/>
  <c r="D28" i="8" l="1"/>
  <c r="D26" i="8"/>
  <c r="J53" i="8"/>
  <c r="J52" i="8"/>
  <c r="J45" i="8"/>
  <c r="J44" i="8"/>
  <c r="J42" i="8"/>
  <c r="J65" i="8" s="1"/>
  <c r="J40" i="8"/>
  <c r="J39" i="8"/>
  <c r="I53" i="8"/>
  <c r="I52" i="8"/>
  <c r="I49" i="8"/>
  <c r="I48" i="8"/>
  <c r="I47" i="8"/>
  <c r="I45" i="8"/>
  <c r="I44" i="8"/>
  <c r="I43" i="8"/>
  <c r="I42" i="8"/>
  <c r="I41" i="8"/>
  <c r="I40" i="8"/>
  <c r="I39" i="8"/>
  <c r="J63" i="8"/>
  <c r="J27" i="8"/>
  <c r="J21" i="8"/>
  <c r="J19" i="8"/>
  <c r="J9" i="8"/>
  <c r="J7" i="8"/>
  <c r="E76" i="8"/>
  <c r="E75" i="8"/>
  <c r="E72" i="8"/>
  <c r="E71" i="8"/>
  <c r="E70" i="8"/>
  <c r="E69" i="8"/>
  <c r="E65" i="8"/>
  <c r="E64" i="8"/>
  <c r="E63" i="8"/>
  <c r="E53" i="8"/>
  <c r="E52" i="8"/>
  <c r="E51" i="8"/>
  <c r="E50" i="8"/>
  <c r="E49" i="8"/>
  <c r="E48" i="8"/>
  <c r="E47" i="8"/>
  <c r="E46" i="8"/>
  <c r="E42" i="8"/>
  <c r="E41" i="8"/>
  <c r="E40" i="8"/>
  <c r="E27" i="8"/>
  <c r="E22" i="8"/>
  <c r="E21" i="8"/>
  <c r="E19" i="8"/>
  <c r="E16" i="8"/>
  <c r="E15" i="8"/>
  <c r="E14" i="8"/>
  <c r="E13" i="8"/>
  <c r="E9" i="8"/>
  <c r="E8" i="8"/>
  <c r="E7" i="8"/>
  <c r="D53" i="8"/>
  <c r="D52" i="8"/>
  <c r="D49" i="8"/>
  <c r="D48" i="8"/>
  <c r="D47" i="8"/>
  <c r="D42" i="8"/>
  <c r="D41" i="8"/>
  <c r="D40" i="8"/>
  <c r="D39" i="8"/>
  <c r="I22" i="8"/>
  <c r="I21" i="8"/>
  <c r="I19" i="8"/>
  <c r="I16" i="8"/>
  <c r="I15" i="8"/>
  <c r="I14" i="8"/>
  <c r="I10" i="8"/>
  <c r="I9" i="8"/>
  <c r="I8" i="8"/>
  <c r="I7" i="8"/>
  <c r="D22" i="8"/>
  <c r="D21" i="8"/>
  <c r="D19" i="8"/>
  <c r="D18" i="8"/>
  <c r="D16" i="8"/>
  <c r="D15" i="8"/>
  <c r="D14" i="8"/>
  <c r="D9" i="8"/>
  <c r="D8" i="8"/>
  <c r="D7" i="8"/>
  <c r="D6" i="8"/>
  <c r="AF284" i="6"/>
  <c r="AF318" i="6" s="1"/>
  <c r="AE284" i="6"/>
  <c r="AB284" i="6"/>
  <c r="AA284" i="6"/>
  <c r="X284" i="6"/>
  <c r="X318" i="6" s="1"/>
  <c r="W284" i="6"/>
  <c r="W318" i="6" s="1"/>
  <c r="T284" i="6"/>
  <c r="S284" i="6"/>
  <c r="P284" i="6"/>
  <c r="O284" i="6"/>
  <c r="L284" i="6"/>
  <c r="K284" i="6"/>
  <c r="H284" i="6"/>
  <c r="H318" i="6" s="1"/>
  <c r="G284" i="6"/>
  <c r="AE318" i="6"/>
  <c r="AB318" i="6"/>
  <c r="AA318" i="6"/>
  <c r="T318" i="6"/>
  <c r="S318" i="6"/>
  <c r="P318" i="6"/>
  <c r="O318" i="6"/>
  <c r="L318" i="6"/>
  <c r="K318" i="6"/>
  <c r="G318" i="6"/>
  <c r="C318" i="6"/>
  <c r="AF317" i="6"/>
  <c r="AE317" i="6"/>
  <c r="AB317" i="6"/>
  <c r="AA317" i="6"/>
  <c r="X317" i="6"/>
  <c r="W317" i="6"/>
  <c r="T317" i="6"/>
  <c r="S317" i="6"/>
  <c r="P317" i="6"/>
  <c r="O317" i="6"/>
  <c r="L317" i="6"/>
  <c r="K317" i="6"/>
  <c r="H317" i="6"/>
  <c r="G317" i="6"/>
  <c r="C317" i="6"/>
  <c r="AF308" i="6"/>
  <c r="AE308" i="6"/>
  <c r="AB308" i="6"/>
  <c r="AA308" i="6"/>
  <c r="X308" i="6"/>
  <c r="W308" i="6"/>
  <c r="T308" i="6"/>
  <c r="S308" i="6"/>
  <c r="P308" i="6"/>
  <c r="O308" i="6"/>
  <c r="L308" i="6"/>
  <c r="K308" i="6"/>
  <c r="H308" i="6"/>
  <c r="G308" i="6"/>
  <c r="AF298" i="6"/>
  <c r="AE298" i="6"/>
  <c r="AB298" i="6"/>
  <c r="AA298" i="6"/>
  <c r="X298" i="6"/>
  <c r="W298" i="6"/>
  <c r="T298" i="6"/>
  <c r="S298" i="6"/>
  <c r="P298" i="6"/>
  <c r="O298" i="6"/>
  <c r="L298" i="6"/>
  <c r="K298" i="6"/>
  <c r="H298" i="6"/>
  <c r="G298" i="6"/>
  <c r="D298" i="6"/>
  <c r="C298" i="6"/>
  <c r="D308" i="6"/>
  <c r="D317" i="6" s="1"/>
  <c r="C308" i="6"/>
  <c r="C284" i="6"/>
  <c r="D283" i="6"/>
  <c r="C283" i="6"/>
  <c r="D261" i="6"/>
  <c r="C261" i="6"/>
  <c r="D257" i="6"/>
  <c r="C257" i="6"/>
  <c r="D231" i="6"/>
  <c r="C231" i="6"/>
  <c r="AF222" i="6"/>
  <c r="AE222" i="6"/>
  <c r="AB222" i="6"/>
  <c r="AA222" i="6"/>
  <c r="X222" i="6"/>
  <c r="W222" i="6"/>
  <c r="T222" i="6"/>
  <c r="S222" i="6"/>
  <c r="P222" i="6"/>
  <c r="O222" i="6"/>
  <c r="L222" i="6"/>
  <c r="H222" i="6"/>
  <c r="G222" i="6"/>
  <c r="D222" i="6"/>
  <c r="C222" i="6"/>
  <c r="AF209" i="6"/>
  <c r="AE209" i="6"/>
  <c r="AB209" i="6"/>
  <c r="AA209" i="6"/>
  <c r="X209" i="6"/>
  <c r="W209" i="6"/>
  <c r="T209" i="6"/>
  <c r="S209" i="6"/>
  <c r="P209" i="6"/>
  <c r="O209" i="6"/>
  <c r="L209" i="6"/>
  <c r="K209" i="6"/>
  <c r="K222" i="6" s="1"/>
  <c r="H209" i="6"/>
  <c r="G209" i="6"/>
  <c r="D209" i="6"/>
  <c r="C209" i="6"/>
  <c r="D188" i="6"/>
  <c r="C188" i="6"/>
  <c r="H186" i="6"/>
  <c r="G186" i="6"/>
  <c r="D186" i="6"/>
  <c r="C186" i="6"/>
  <c r="D167" i="6"/>
  <c r="C167" i="6"/>
  <c r="D166" i="6"/>
  <c r="C166" i="6"/>
  <c r="D149" i="6"/>
  <c r="C149" i="6"/>
  <c r="D118" i="6"/>
  <c r="C118" i="6"/>
  <c r="D83" i="6"/>
  <c r="C83" i="6"/>
  <c r="D111" i="6"/>
  <c r="C111" i="6"/>
  <c r="D72" i="6"/>
  <c r="C72" i="6"/>
  <c r="L47" i="6"/>
  <c r="K47" i="6"/>
  <c r="H47" i="6"/>
  <c r="G47" i="6"/>
  <c r="C47" i="6"/>
  <c r="L36" i="6"/>
  <c r="K36" i="6"/>
  <c r="D36" i="6"/>
  <c r="C36" i="6"/>
  <c r="C11" i="6"/>
  <c r="D5" i="6"/>
  <c r="D11" i="6" s="1"/>
  <c r="E39" i="8" s="1"/>
  <c r="E38" i="8" s="1"/>
  <c r="C5" i="6"/>
  <c r="AF303" i="7"/>
  <c r="AF314" i="7" s="1"/>
  <c r="AE303" i="7"/>
  <c r="AE314" i="7" s="1"/>
  <c r="AB303" i="7"/>
  <c r="AB314" i="7" s="1"/>
  <c r="AA303" i="7"/>
  <c r="AA314" i="7" s="1"/>
  <c r="X303" i="7"/>
  <c r="X314" i="7" s="1"/>
  <c r="W303" i="7"/>
  <c r="W314" i="7" s="1"/>
  <c r="T303" i="7"/>
  <c r="T314" i="7" s="1"/>
  <c r="S303" i="7"/>
  <c r="S314" i="7" s="1"/>
  <c r="P303" i="7"/>
  <c r="P314" i="7" s="1"/>
  <c r="O303" i="7"/>
  <c r="O314" i="7" s="1"/>
  <c r="L303" i="7"/>
  <c r="L314" i="7" s="1"/>
  <c r="K303" i="7"/>
  <c r="K314" i="7" s="1"/>
  <c r="H303" i="7"/>
  <c r="H314" i="7" s="1"/>
  <c r="G303" i="7"/>
  <c r="G314" i="7" s="1"/>
  <c r="D303" i="7"/>
  <c r="D314" i="7" s="1"/>
  <c r="J51" i="8" s="1"/>
  <c r="J50" i="8" s="1"/>
  <c r="AI297" i="7"/>
  <c r="AF272" i="7"/>
  <c r="AE272" i="7"/>
  <c r="AB272" i="7"/>
  <c r="AA272" i="7"/>
  <c r="X272" i="7"/>
  <c r="W272" i="7"/>
  <c r="T272" i="7"/>
  <c r="S272" i="7"/>
  <c r="P272" i="7"/>
  <c r="O272" i="7"/>
  <c r="L272" i="7"/>
  <c r="K272" i="7"/>
  <c r="H272" i="7"/>
  <c r="G272" i="7"/>
  <c r="D234" i="7"/>
  <c r="C234" i="7"/>
  <c r="D261" i="7"/>
  <c r="C303" i="7"/>
  <c r="C314" i="7" s="1"/>
  <c r="I51" i="8" s="1"/>
  <c r="C261" i="7"/>
  <c r="AF210" i="7"/>
  <c r="AE210" i="7"/>
  <c r="AB210" i="7"/>
  <c r="AA210" i="7"/>
  <c r="X210" i="7"/>
  <c r="W210" i="7"/>
  <c r="T210" i="7"/>
  <c r="S210" i="7"/>
  <c r="P210" i="7"/>
  <c r="O210" i="7"/>
  <c r="L210" i="7"/>
  <c r="K210" i="7"/>
  <c r="H210" i="7"/>
  <c r="G210" i="7"/>
  <c r="D210" i="7"/>
  <c r="J48" i="8" s="1"/>
  <c r="C210" i="7"/>
  <c r="AF205" i="7"/>
  <c r="AE205" i="7"/>
  <c r="AB205" i="7"/>
  <c r="AA205" i="7"/>
  <c r="X205" i="7"/>
  <c r="W205" i="7"/>
  <c r="T205" i="7"/>
  <c r="S205" i="7"/>
  <c r="P205" i="7"/>
  <c r="O205" i="7"/>
  <c r="L205" i="7"/>
  <c r="K205" i="7"/>
  <c r="H205" i="7"/>
  <c r="G205" i="7"/>
  <c r="D205" i="7"/>
  <c r="J47" i="8" s="1"/>
  <c r="C205" i="7"/>
  <c r="G58" i="7"/>
  <c r="H58" i="7"/>
  <c r="AF195" i="7"/>
  <c r="AE195" i="7"/>
  <c r="AB195" i="7"/>
  <c r="AA195" i="7"/>
  <c r="X195" i="7"/>
  <c r="W195" i="7"/>
  <c r="T195" i="7"/>
  <c r="S195" i="7"/>
  <c r="P195" i="7"/>
  <c r="O195" i="7"/>
  <c r="L195" i="7"/>
  <c r="K195" i="7"/>
  <c r="H195" i="7"/>
  <c r="G195" i="7"/>
  <c r="D192" i="7"/>
  <c r="D181" i="7"/>
  <c r="D153" i="7"/>
  <c r="D129" i="7"/>
  <c r="C129" i="7"/>
  <c r="C153" i="7"/>
  <c r="C181" i="7"/>
  <c r="C192" i="7"/>
  <c r="D123" i="7"/>
  <c r="C123" i="7"/>
  <c r="AF58" i="7"/>
  <c r="AF59" i="7" s="1"/>
  <c r="AE58" i="7"/>
  <c r="AE59" i="7" s="1"/>
  <c r="AB58" i="7"/>
  <c r="AA58" i="7"/>
  <c r="X58" i="7"/>
  <c r="X59" i="7" s="1"/>
  <c r="W58" i="7"/>
  <c r="W59" i="7" s="1"/>
  <c r="W196" i="7" s="1"/>
  <c r="T58" i="7"/>
  <c r="T59" i="7" s="1"/>
  <c r="S58" i="7"/>
  <c r="S59" i="7" s="1"/>
  <c r="P58" i="7"/>
  <c r="O58" i="7"/>
  <c r="L58" i="7"/>
  <c r="K58" i="7"/>
  <c r="K59" i="7" s="1"/>
  <c r="D58" i="7"/>
  <c r="C58" i="7"/>
  <c r="C59" i="7" s="1"/>
  <c r="AF49" i="7"/>
  <c r="AE49" i="7"/>
  <c r="AB49" i="7"/>
  <c r="AA49" i="7"/>
  <c r="X49" i="7"/>
  <c r="W49" i="7"/>
  <c r="T49" i="7"/>
  <c r="S49" i="7"/>
  <c r="P49" i="7"/>
  <c r="O49" i="7"/>
  <c r="L49" i="7"/>
  <c r="K49" i="7"/>
  <c r="H49" i="7"/>
  <c r="G49" i="7"/>
  <c r="D49" i="7"/>
  <c r="C49" i="7"/>
  <c r="AF46" i="7"/>
  <c r="AE46" i="7"/>
  <c r="AB46" i="7"/>
  <c r="AA46" i="7"/>
  <c r="X46" i="7"/>
  <c r="W46" i="7"/>
  <c r="T46" i="7"/>
  <c r="S46" i="7"/>
  <c r="P46" i="7"/>
  <c r="O46" i="7"/>
  <c r="L46" i="7"/>
  <c r="K46" i="7"/>
  <c r="H46" i="7"/>
  <c r="G46" i="7"/>
  <c r="D46" i="7"/>
  <c r="C46" i="7"/>
  <c r="AF36" i="7"/>
  <c r="AE36" i="7"/>
  <c r="AB36" i="7"/>
  <c r="AA36" i="7"/>
  <c r="AA59" i="7" s="1"/>
  <c r="X36" i="7"/>
  <c r="W36" i="7"/>
  <c r="T36" i="7"/>
  <c r="S36" i="7"/>
  <c r="P36" i="7"/>
  <c r="O36" i="7"/>
  <c r="O59" i="7" s="1"/>
  <c r="L36" i="7"/>
  <c r="K36" i="7"/>
  <c r="H36" i="7"/>
  <c r="G36" i="7"/>
  <c r="D36" i="7"/>
  <c r="C36" i="7"/>
  <c r="AF33" i="7"/>
  <c r="AE33" i="7"/>
  <c r="AB33" i="7"/>
  <c r="AA33" i="7"/>
  <c r="X33" i="7"/>
  <c r="W33" i="7"/>
  <c r="T33" i="7"/>
  <c r="S33" i="7"/>
  <c r="P33" i="7"/>
  <c r="O33" i="7"/>
  <c r="L33" i="7"/>
  <c r="K33" i="7"/>
  <c r="H33" i="7"/>
  <c r="G33" i="7"/>
  <c r="D33" i="7"/>
  <c r="C33" i="7"/>
  <c r="AJ24" i="7"/>
  <c r="AB23" i="7"/>
  <c r="AF23" i="7"/>
  <c r="AE23" i="7"/>
  <c r="AA23" i="7"/>
  <c r="X23" i="7"/>
  <c r="W23" i="7"/>
  <c r="T23" i="7"/>
  <c r="S23" i="7"/>
  <c r="P23" i="7"/>
  <c r="O23" i="7"/>
  <c r="L23" i="7"/>
  <c r="K23" i="7"/>
  <c r="H23" i="7"/>
  <c r="G23" i="7"/>
  <c r="D23" i="7"/>
  <c r="C23" i="7"/>
  <c r="AF21" i="7"/>
  <c r="AE21" i="7"/>
  <c r="AB21" i="7"/>
  <c r="AA21" i="7"/>
  <c r="X21" i="7"/>
  <c r="W21" i="7"/>
  <c r="T21" i="7"/>
  <c r="S21" i="7"/>
  <c r="P21" i="7"/>
  <c r="O21" i="7"/>
  <c r="O22" i="7" s="1"/>
  <c r="L21" i="7"/>
  <c r="K21" i="7"/>
  <c r="H21" i="7"/>
  <c r="G21" i="7"/>
  <c r="D21" i="7"/>
  <c r="C21" i="7"/>
  <c r="AF17" i="7"/>
  <c r="AF22" i="7" s="1"/>
  <c r="AE17" i="7"/>
  <c r="AB17" i="7"/>
  <c r="AA17" i="7"/>
  <c r="X17" i="7"/>
  <c r="X22" i="7" s="1"/>
  <c r="W22" i="7"/>
  <c r="D17" i="7"/>
  <c r="T17" i="7"/>
  <c r="T22" i="7" s="1"/>
  <c r="S17" i="7"/>
  <c r="P17" i="7"/>
  <c r="O17" i="7"/>
  <c r="L17" i="7"/>
  <c r="L22" i="7" s="1"/>
  <c r="K17" i="7"/>
  <c r="H17" i="7"/>
  <c r="H22" i="7" s="1"/>
  <c r="C17" i="7"/>
  <c r="C22" i="7" s="1"/>
  <c r="I5" i="11"/>
  <c r="P256" i="11"/>
  <c r="J256" i="11"/>
  <c r="P238" i="11"/>
  <c r="J238" i="11"/>
  <c r="P217" i="11"/>
  <c r="J217" i="11"/>
  <c r="P162" i="11"/>
  <c r="J162" i="11"/>
  <c r="P65" i="11"/>
  <c r="J65" i="11"/>
  <c r="P107" i="11"/>
  <c r="J107" i="11"/>
  <c r="H161" i="11"/>
  <c r="H160" i="11"/>
  <c r="H159" i="11"/>
  <c r="H158" i="11"/>
  <c r="H157" i="11"/>
  <c r="H156" i="11"/>
  <c r="H154" i="11"/>
  <c r="H152" i="11"/>
  <c r="H151" i="11"/>
  <c r="H150" i="11"/>
  <c r="H149" i="11"/>
  <c r="H148" i="11"/>
  <c r="H147" i="11"/>
  <c r="H146" i="11"/>
  <c r="H144" i="11"/>
  <c r="H143" i="11"/>
  <c r="H138" i="11"/>
  <c r="H119" i="11"/>
  <c r="H133" i="11"/>
  <c r="H135" i="11"/>
  <c r="P6" i="11"/>
  <c r="J6" i="11"/>
  <c r="D47" i="6" l="1"/>
  <c r="D284" i="6" s="1"/>
  <c r="D318" i="6" s="1"/>
  <c r="D59" i="7"/>
  <c r="J41" i="8" s="1"/>
  <c r="H59" i="7"/>
  <c r="H273" i="7" s="1"/>
  <c r="H315" i="7" s="1"/>
  <c r="L59" i="7"/>
  <c r="L196" i="7"/>
  <c r="P22" i="7"/>
  <c r="AB59" i="7"/>
  <c r="P59" i="7"/>
  <c r="P273" i="7" s="1"/>
  <c r="P315" i="7" s="1"/>
  <c r="E37" i="8"/>
  <c r="E57" i="8" s="1"/>
  <c r="AF196" i="7"/>
  <c r="AE196" i="7"/>
  <c r="S273" i="7"/>
  <c r="S315" i="7" s="1"/>
  <c r="T273" i="7"/>
  <c r="T315" i="7" s="1"/>
  <c r="W273" i="7"/>
  <c r="O315" i="7"/>
  <c r="X273" i="7"/>
  <c r="X315" i="7" s="1"/>
  <c r="O196" i="7"/>
  <c r="T196" i="7"/>
  <c r="AF273" i="7"/>
  <c r="AF315" i="7" s="1"/>
  <c r="K273" i="7"/>
  <c r="K315" i="7" s="1"/>
  <c r="X196" i="7"/>
  <c r="L273" i="7"/>
  <c r="L315" i="7" s="1"/>
  <c r="O273" i="7"/>
  <c r="AA22" i="7"/>
  <c r="AA196" i="7" s="1"/>
  <c r="AE22" i="7"/>
  <c r="AE273" i="7" s="1"/>
  <c r="AE315" i="7" s="1"/>
  <c r="K22" i="7"/>
  <c r="K196" i="7" s="1"/>
  <c r="D22" i="7"/>
  <c r="D195" i="7"/>
  <c r="J43" i="8" s="1"/>
  <c r="G59" i="7"/>
  <c r="G22" i="7"/>
  <c r="G273" i="7" s="1"/>
  <c r="G315" i="7" s="1"/>
  <c r="S22" i="7"/>
  <c r="S196" i="7" s="1"/>
  <c r="AB22" i="7"/>
  <c r="AB273" i="7" s="1"/>
  <c r="AB315" i="7" s="1"/>
  <c r="D272" i="7"/>
  <c r="J49" i="8" s="1"/>
  <c r="J46" i="8" s="1"/>
  <c r="W315" i="7"/>
  <c r="C272" i="7"/>
  <c r="C273" i="7" s="1"/>
  <c r="C315" i="7" s="1"/>
  <c r="C195" i="7"/>
  <c r="C196" i="7" s="1"/>
  <c r="J5" i="11"/>
  <c r="F58" i="7"/>
  <c r="J38" i="8" l="1"/>
  <c r="J37" i="8" s="1"/>
  <c r="J57" i="8" s="1"/>
  <c r="K57" i="8" s="1"/>
  <c r="D196" i="7"/>
  <c r="H196" i="7"/>
  <c r="P196" i="7"/>
  <c r="D273" i="7"/>
  <c r="D315" i="7" s="1"/>
  <c r="D318" i="7" s="1"/>
  <c r="AA273" i="7"/>
  <c r="AA315" i="7" s="1"/>
  <c r="AI315" i="7" s="1"/>
  <c r="G196" i="7"/>
  <c r="AB196" i="7"/>
  <c r="F314" i="7"/>
  <c r="F303" i="7"/>
  <c r="F210" i="7"/>
  <c r="F205" i="7"/>
  <c r="F46" i="7"/>
  <c r="F36" i="7"/>
  <c r="F33" i="7"/>
  <c r="H45" i="18"/>
  <c r="F59" i="7" l="1"/>
  <c r="F234" i="7"/>
  <c r="F194" i="7"/>
  <c r="J141" i="18" l="1"/>
  <c r="F145" i="18"/>
  <c r="F119" i="18" l="1"/>
  <c r="D119" i="18"/>
  <c r="G39" i="18"/>
  <c r="D51" i="8"/>
  <c r="AL318" i="6"/>
  <c r="F265" i="7"/>
  <c r="F261" i="7" s="1"/>
  <c r="F272" i="7" s="1"/>
  <c r="AL22" i="7"/>
  <c r="F181" i="7"/>
  <c r="C28" i="9"/>
  <c r="C3" i="10"/>
  <c r="F193" i="7" s="1"/>
  <c r="I11" i="8" l="1"/>
  <c r="D70" i="8"/>
  <c r="B3" i="15"/>
  <c r="E32" i="16" l="1"/>
  <c r="E13" i="16"/>
  <c r="E11" i="16"/>
  <c r="E12" i="16" s="1"/>
  <c r="D202" i="18" l="1"/>
  <c r="K185" i="18"/>
  <c r="E173" i="18"/>
  <c r="E172" i="18"/>
  <c r="E171" i="18"/>
  <c r="E159" i="18"/>
  <c r="E157" i="18"/>
  <c r="K154" i="18"/>
  <c r="J74" i="18"/>
  <c r="B9" i="17"/>
  <c r="B7" i="17"/>
  <c r="C7" i="17" s="1"/>
  <c r="D30" i="17"/>
  <c r="B30" i="17"/>
  <c r="D26" i="17"/>
  <c r="B26" i="17"/>
  <c r="D22" i="17"/>
  <c r="B22" i="17"/>
  <c r="D18" i="17"/>
  <c r="B18" i="17"/>
  <c r="D14" i="17"/>
  <c r="B14" i="17"/>
  <c r="B12" i="17"/>
  <c r="D10" i="17"/>
  <c r="B10" i="17"/>
  <c r="D7" i="17"/>
  <c r="D6" i="17"/>
  <c r="D2" i="17" s="1"/>
  <c r="D3" i="17"/>
  <c r="B3" i="17"/>
  <c r="C18" i="15"/>
  <c r="D22" i="16"/>
  <c r="C22" i="16"/>
  <c r="F13" i="16"/>
  <c r="F31" i="16" s="1"/>
  <c r="D13" i="16"/>
  <c r="C13" i="16"/>
  <c r="C31" i="16" s="1"/>
  <c r="F11" i="16"/>
  <c r="F12" i="16" s="1"/>
  <c r="D11" i="16"/>
  <c r="D12" i="16" s="1"/>
  <c r="C11" i="16"/>
  <c r="C12" i="16" s="1"/>
  <c r="H9" i="14"/>
  <c r="G9" i="14"/>
  <c r="F9" i="14"/>
  <c r="E9" i="14"/>
  <c r="D9" i="14"/>
  <c r="C9" i="14"/>
  <c r="B9" i="14"/>
  <c r="I6" i="14"/>
  <c r="I9" i="14" s="1"/>
  <c r="D31" i="16" l="1"/>
  <c r="D32" i="16" s="1"/>
  <c r="C32" i="16"/>
  <c r="B6" i="17"/>
  <c r="B2" i="17" s="1"/>
  <c r="C2" i="17" s="1"/>
  <c r="F32" i="16"/>
  <c r="C6" i="17" l="1"/>
  <c r="N21" i="5" l="1"/>
  <c r="M17" i="5"/>
  <c r="AK313" i="7"/>
  <c r="AJ313" i="7"/>
  <c r="AI313" i="7"/>
  <c r="AK312" i="7"/>
  <c r="AJ312" i="7"/>
  <c r="AI312" i="7"/>
  <c r="AK310" i="7"/>
  <c r="AJ310" i="7"/>
  <c r="AI310" i="7"/>
  <c r="AK309" i="7"/>
  <c r="AJ309" i="7"/>
  <c r="AI309" i="7"/>
  <c r="AK308" i="7"/>
  <c r="AJ308" i="7"/>
  <c r="AI308" i="7"/>
  <c r="AK307" i="7"/>
  <c r="AJ307" i="7"/>
  <c r="AI307" i="7"/>
  <c r="AK306" i="7"/>
  <c r="AJ306" i="7"/>
  <c r="AI306" i="7"/>
  <c r="AK305" i="7"/>
  <c r="AJ305" i="7"/>
  <c r="AI305" i="7"/>
  <c r="AK304" i="7"/>
  <c r="AJ304" i="7"/>
  <c r="AI304" i="7"/>
  <c r="AK302" i="7"/>
  <c r="AJ302" i="7"/>
  <c r="AI302" i="7"/>
  <c r="AK301" i="7"/>
  <c r="AJ301" i="7"/>
  <c r="AI301" i="7"/>
  <c r="AK300" i="7"/>
  <c r="AJ300" i="7"/>
  <c r="AI300" i="7"/>
  <c r="AK299" i="7"/>
  <c r="AJ299" i="7"/>
  <c r="AI299" i="7"/>
  <c r="AK298" i="7"/>
  <c r="AJ298" i="7"/>
  <c r="AI298" i="7"/>
  <c r="AK296" i="7"/>
  <c r="AJ296" i="7"/>
  <c r="AI296" i="7"/>
  <c r="AK295" i="7"/>
  <c r="O19" i="5" s="1"/>
  <c r="O16" i="5" s="1"/>
  <c r="AJ295" i="7"/>
  <c r="N19" i="5" s="1"/>
  <c r="N16" i="5" s="1"/>
  <c r="AK294" i="7"/>
  <c r="AJ294" i="7"/>
  <c r="J22" i="8" s="1"/>
  <c r="AI294" i="7"/>
  <c r="AK293" i="7"/>
  <c r="AJ293" i="7"/>
  <c r="AI293" i="7"/>
  <c r="AK292" i="7"/>
  <c r="AJ292" i="7"/>
  <c r="AI292" i="7"/>
  <c r="AK291" i="7"/>
  <c r="AJ291" i="7"/>
  <c r="AI291" i="7"/>
  <c r="AK290" i="7"/>
  <c r="AJ290" i="7"/>
  <c r="AI290" i="7"/>
  <c r="AK289" i="7"/>
  <c r="AJ289" i="7"/>
  <c r="AI289" i="7"/>
  <c r="AK288" i="7"/>
  <c r="AJ288" i="7"/>
  <c r="AI288" i="7"/>
  <c r="AK287" i="7"/>
  <c r="AJ287" i="7"/>
  <c r="AI287" i="7"/>
  <c r="AK286" i="7"/>
  <c r="AJ286" i="7"/>
  <c r="AI286" i="7"/>
  <c r="AK285" i="7"/>
  <c r="AJ285" i="7"/>
  <c r="AI285" i="7"/>
  <c r="AK284" i="7"/>
  <c r="AJ284" i="7"/>
  <c r="AI284" i="7"/>
  <c r="AK283" i="7"/>
  <c r="AJ283" i="7"/>
  <c r="AI283" i="7"/>
  <c r="AK282" i="7"/>
  <c r="AJ282" i="7"/>
  <c r="AI282" i="7"/>
  <c r="AK281" i="7"/>
  <c r="AJ281" i="7"/>
  <c r="AI281" i="7"/>
  <c r="AK280" i="7"/>
  <c r="AJ280" i="7"/>
  <c r="AI280" i="7"/>
  <c r="AK279" i="7"/>
  <c r="AJ279" i="7"/>
  <c r="AI279" i="7"/>
  <c r="AK278" i="7"/>
  <c r="AJ278" i="7"/>
  <c r="AI278" i="7"/>
  <c r="AK277" i="7"/>
  <c r="AJ277" i="7"/>
  <c r="AI277" i="7"/>
  <c r="AK276" i="7"/>
  <c r="AJ276" i="7"/>
  <c r="AI276" i="7"/>
  <c r="AK275" i="7"/>
  <c r="AJ275" i="7"/>
  <c r="AI275" i="7"/>
  <c r="AK274" i="7"/>
  <c r="AJ274" i="7"/>
  <c r="AI274" i="7"/>
  <c r="AK271" i="7"/>
  <c r="AJ271" i="7"/>
  <c r="AI271" i="7"/>
  <c r="AK270" i="7"/>
  <c r="AJ270" i="7"/>
  <c r="AI270" i="7"/>
  <c r="AK269" i="7"/>
  <c r="AJ269" i="7"/>
  <c r="AI269" i="7"/>
  <c r="AK268" i="7"/>
  <c r="AJ268" i="7"/>
  <c r="AI268" i="7"/>
  <c r="AK267" i="7"/>
  <c r="AJ267" i="7"/>
  <c r="AI267" i="7"/>
  <c r="AK266" i="7"/>
  <c r="AJ266" i="7"/>
  <c r="AI266" i="7"/>
  <c r="AK265" i="7"/>
  <c r="AJ265" i="7"/>
  <c r="AI265" i="7"/>
  <c r="AK264" i="7"/>
  <c r="AJ264" i="7"/>
  <c r="AI264" i="7"/>
  <c r="AK263" i="7"/>
  <c r="AJ263" i="7"/>
  <c r="AI263" i="7"/>
  <c r="AK262" i="7"/>
  <c r="AJ262" i="7"/>
  <c r="AI262" i="7"/>
  <c r="AK260" i="7"/>
  <c r="AJ260" i="7"/>
  <c r="AI260" i="7"/>
  <c r="AK259" i="7"/>
  <c r="AJ259" i="7"/>
  <c r="AI259" i="7"/>
  <c r="AK258" i="7"/>
  <c r="AJ258" i="7"/>
  <c r="AI258" i="7"/>
  <c r="AK257" i="7"/>
  <c r="AJ257" i="7"/>
  <c r="AI257" i="7"/>
  <c r="AK256" i="7"/>
  <c r="AJ256" i="7"/>
  <c r="AI256" i="7"/>
  <c r="AK255" i="7"/>
  <c r="AJ255" i="7"/>
  <c r="AI255" i="7"/>
  <c r="AK254" i="7"/>
  <c r="AJ254" i="7"/>
  <c r="AI254" i="7"/>
  <c r="AK253" i="7"/>
  <c r="AJ253" i="7"/>
  <c r="AI253" i="7"/>
  <c r="AK252" i="7"/>
  <c r="AJ252" i="7"/>
  <c r="AI252" i="7"/>
  <c r="AK251" i="7"/>
  <c r="AJ251" i="7"/>
  <c r="AI251" i="7"/>
  <c r="AK250" i="7"/>
  <c r="AJ250" i="7"/>
  <c r="AI250" i="7"/>
  <c r="AK249" i="7"/>
  <c r="AJ249" i="7"/>
  <c r="AI249" i="7"/>
  <c r="AK248" i="7"/>
  <c r="AJ248" i="7"/>
  <c r="AI248" i="7"/>
  <c r="AK246" i="7"/>
  <c r="AJ246" i="7"/>
  <c r="AI246" i="7"/>
  <c r="AK245" i="7"/>
  <c r="AJ245" i="7"/>
  <c r="AI245" i="7"/>
  <c r="AK244" i="7"/>
  <c r="AJ244" i="7"/>
  <c r="AI244" i="7"/>
  <c r="AK243" i="7"/>
  <c r="AJ243" i="7"/>
  <c r="AI243" i="7"/>
  <c r="AK242" i="7"/>
  <c r="AJ242" i="7"/>
  <c r="AI242" i="7"/>
  <c r="AK241" i="7"/>
  <c r="AJ241" i="7"/>
  <c r="AI241" i="7"/>
  <c r="AK240" i="7"/>
  <c r="AJ240" i="7"/>
  <c r="AI240" i="7"/>
  <c r="AK239" i="7"/>
  <c r="AJ239" i="7"/>
  <c r="AI239" i="7"/>
  <c r="AK238" i="7"/>
  <c r="AJ238" i="7"/>
  <c r="AI238" i="7"/>
  <c r="AK237" i="7"/>
  <c r="AJ237" i="7"/>
  <c r="AI237" i="7"/>
  <c r="AK236" i="7"/>
  <c r="AJ236" i="7"/>
  <c r="AI236" i="7"/>
  <c r="AK235" i="7"/>
  <c r="AJ235" i="7"/>
  <c r="AI235" i="7"/>
  <c r="AK233" i="7"/>
  <c r="AJ233" i="7"/>
  <c r="AI233" i="7"/>
  <c r="AK232" i="7"/>
  <c r="AJ232" i="7"/>
  <c r="AI232" i="7"/>
  <c r="AK231" i="7"/>
  <c r="AJ231" i="7"/>
  <c r="AI231" i="7"/>
  <c r="AK230" i="7"/>
  <c r="AJ230" i="7"/>
  <c r="AI230" i="7"/>
  <c r="AK229" i="7"/>
  <c r="AJ229" i="7"/>
  <c r="AI229" i="7"/>
  <c r="AK228" i="7"/>
  <c r="AJ228" i="7"/>
  <c r="AI228" i="7"/>
  <c r="AK227" i="7"/>
  <c r="AJ227" i="7"/>
  <c r="AI227" i="7"/>
  <c r="AK226" i="7"/>
  <c r="AJ226" i="7"/>
  <c r="AI226" i="7"/>
  <c r="AK225" i="7"/>
  <c r="AJ225" i="7"/>
  <c r="AI225" i="7"/>
  <c r="AK224" i="7"/>
  <c r="AJ224" i="7"/>
  <c r="AI224" i="7"/>
  <c r="AK222" i="7"/>
  <c r="AJ222" i="7"/>
  <c r="AI222" i="7"/>
  <c r="AK221" i="7"/>
  <c r="AJ221" i="7"/>
  <c r="AI221" i="7"/>
  <c r="AK220" i="7"/>
  <c r="AJ220" i="7"/>
  <c r="AI220" i="7"/>
  <c r="AK219" i="7"/>
  <c r="AJ219" i="7"/>
  <c r="AI219" i="7"/>
  <c r="AK218" i="7"/>
  <c r="AJ218" i="7"/>
  <c r="AI218" i="7"/>
  <c r="AK217" i="7"/>
  <c r="AJ217" i="7"/>
  <c r="AI217" i="7"/>
  <c r="AK216" i="7"/>
  <c r="AJ216" i="7"/>
  <c r="AI216" i="7"/>
  <c r="AK215" i="7"/>
  <c r="AJ215" i="7"/>
  <c r="AI215" i="7"/>
  <c r="AK214" i="7"/>
  <c r="AJ214" i="7"/>
  <c r="AI214" i="7"/>
  <c r="AK213" i="7"/>
  <c r="AJ213" i="7"/>
  <c r="AI213" i="7"/>
  <c r="AK211" i="7"/>
  <c r="AJ211" i="7"/>
  <c r="AI211" i="7"/>
  <c r="AK209" i="7"/>
  <c r="AJ209" i="7"/>
  <c r="AI209" i="7"/>
  <c r="AK208" i="7"/>
  <c r="AJ208" i="7"/>
  <c r="AI208" i="7"/>
  <c r="AK207" i="7"/>
  <c r="AJ207" i="7"/>
  <c r="AI207" i="7"/>
  <c r="AK206" i="7"/>
  <c r="AJ206" i="7"/>
  <c r="AI206" i="7"/>
  <c r="AK204" i="7"/>
  <c r="AJ204" i="7"/>
  <c r="AK203" i="7"/>
  <c r="AJ203" i="7"/>
  <c r="AI203" i="7"/>
  <c r="AK202" i="7"/>
  <c r="AJ202" i="7"/>
  <c r="AI202" i="7"/>
  <c r="AK201" i="7"/>
  <c r="AJ201" i="7"/>
  <c r="AK200" i="7"/>
  <c r="AJ200" i="7"/>
  <c r="AI200" i="7"/>
  <c r="AK199" i="7"/>
  <c r="AJ199" i="7"/>
  <c r="AI199" i="7"/>
  <c r="AK198" i="7"/>
  <c r="AJ198" i="7"/>
  <c r="AI198" i="7"/>
  <c r="AK197" i="7"/>
  <c r="AJ197" i="7"/>
  <c r="AI197" i="7"/>
  <c r="AK194" i="7"/>
  <c r="AJ194" i="7"/>
  <c r="AI194" i="7"/>
  <c r="AK193" i="7"/>
  <c r="AJ193" i="7"/>
  <c r="AI193" i="7"/>
  <c r="AK192" i="7"/>
  <c r="AJ192" i="7"/>
  <c r="AK191" i="7"/>
  <c r="AJ191" i="7"/>
  <c r="AI191" i="7"/>
  <c r="AK190" i="7"/>
  <c r="AJ190" i="7"/>
  <c r="AI190" i="7"/>
  <c r="AK189" i="7"/>
  <c r="AJ189" i="7"/>
  <c r="AI189" i="7"/>
  <c r="AK188" i="7"/>
  <c r="AJ188" i="7"/>
  <c r="AI188" i="7"/>
  <c r="AK187" i="7"/>
  <c r="AJ187" i="7"/>
  <c r="AI187" i="7"/>
  <c r="AK186" i="7"/>
  <c r="AJ186" i="7"/>
  <c r="AI186" i="7"/>
  <c r="AK185" i="7"/>
  <c r="AJ185" i="7"/>
  <c r="AI185" i="7"/>
  <c r="AK184" i="7"/>
  <c r="AJ184" i="7"/>
  <c r="AI184" i="7"/>
  <c r="AK183" i="7"/>
  <c r="AJ183" i="7"/>
  <c r="AI183" i="7"/>
  <c r="AK182" i="7"/>
  <c r="AJ182" i="7"/>
  <c r="AI182" i="7"/>
  <c r="AJ181" i="7"/>
  <c r="AI181" i="7"/>
  <c r="AK180" i="7"/>
  <c r="AJ180" i="7"/>
  <c r="AI180" i="7"/>
  <c r="AK179" i="7"/>
  <c r="AJ179" i="7"/>
  <c r="AI179" i="7"/>
  <c r="AK178" i="7"/>
  <c r="AJ178" i="7"/>
  <c r="AI178" i="7"/>
  <c r="AK177" i="7"/>
  <c r="AJ177" i="7"/>
  <c r="AI177" i="7"/>
  <c r="AK176" i="7"/>
  <c r="AJ176" i="7"/>
  <c r="AI176" i="7"/>
  <c r="AK175" i="7"/>
  <c r="AJ175" i="7"/>
  <c r="AI175" i="7"/>
  <c r="AK174" i="7"/>
  <c r="AJ174" i="7"/>
  <c r="AI174" i="7"/>
  <c r="AK173" i="7"/>
  <c r="AJ173" i="7"/>
  <c r="AI173" i="7"/>
  <c r="AK172" i="7"/>
  <c r="AJ172" i="7"/>
  <c r="AI172" i="7"/>
  <c r="AK171" i="7"/>
  <c r="AJ171" i="7"/>
  <c r="AI171" i="7"/>
  <c r="AK170" i="7"/>
  <c r="AJ170" i="7"/>
  <c r="AI170" i="7"/>
  <c r="AK169" i="7"/>
  <c r="AJ169" i="7"/>
  <c r="AI169" i="7"/>
  <c r="AK168" i="7"/>
  <c r="AJ168" i="7"/>
  <c r="AI168" i="7"/>
  <c r="AK167" i="7"/>
  <c r="AJ167" i="7"/>
  <c r="AI167" i="7"/>
  <c r="AK166" i="7"/>
  <c r="AJ166" i="7"/>
  <c r="AI166" i="7"/>
  <c r="AK165" i="7"/>
  <c r="AJ165" i="7"/>
  <c r="AI165" i="7"/>
  <c r="AK164" i="7"/>
  <c r="AJ164" i="7"/>
  <c r="AI164" i="7"/>
  <c r="AK163" i="7"/>
  <c r="AJ163" i="7"/>
  <c r="AI163" i="7"/>
  <c r="AK162" i="7"/>
  <c r="AJ162" i="7"/>
  <c r="AI162" i="7"/>
  <c r="AK161" i="7"/>
  <c r="AJ161" i="7"/>
  <c r="AI161" i="7"/>
  <c r="AK160" i="7"/>
  <c r="AJ160" i="7"/>
  <c r="AI160" i="7"/>
  <c r="AK159" i="7"/>
  <c r="AJ159" i="7"/>
  <c r="AI159" i="7"/>
  <c r="AK158" i="7"/>
  <c r="AJ158" i="7"/>
  <c r="AI158" i="7"/>
  <c r="AK157" i="7"/>
  <c r="AJ157" i="7"/>
  <c r="AI157" i="7"/>
  <c r="AK156" i="7"/>
  <c r="AJ156" i="7"/>
  <c r="AI156" i="7"/>
  <c r="AK155" i="7"/>
  <c r="AJ155" i="7"/>
  <c r="AI155" i="7"/>
  <c r="AK154" i="7"/>
  <c r="AJ154" i="7"/>
  <c r="AI154" i="7"/>
  <c r="AK153" i="7"/>
  <c r="AJ153" i="7"/>
  <c r="AI153" i="7"/>
  <c r="AK152" i="7"/>
  <c r="AJ152" i="7"/>
  <c r="AI152" i="7"/>
  <c r="AK151" i="7"/>
  <c r="AJ151" i="7"/>
  <c r="AI151" i="7"/>
  <c r="AK150" i="7"/>
  <c r="AJ150" i="7"/>
  <c r="AI150" i="7"/>
  <c r="AK149" i="7"/>
  <c r="AJ149" i="7"/>
  <c r="AI149" i="7"/>
  <c r="AK148" i="7"/>
  <c r="AJ148" i="7"/>
  <c r="AI148" i="7"/>
  <c r="AK147" i="7"/>
  <c r="AJ147" i="7"/>
  <c r="AI147" i="7"/>
  <c r="AK146" i="7"/>
  <c r="AJ146" i="7"/>
  <c r="AI146" i="7"/>
  <c r="AK145" i="7"/>
  <c r="AJ145" i="7"/>
  <c r="AI145" i="7"/>
  <c r="AK144" i="7"/>
  <c r="AJ144" i="7"/>
  <c r="AI144" i="7"/>
  <c r="AK143" i="7"/>
  <c r="AJ143" i="7"/>
  <c r="AI143" i="7"/>
  <c r="AK142" i="7"/>
  <c r="AJ142" i="7"/>
  <c r="AI142" i="7"/>
  <c r="AK141" i="7"/>
  <c r="AJ141" i="7"/>
  <c r="AI141" i="7"/>
  <c r="AK140" i="7"/>
  <c r="AJ140" i="7"/>
  <c r="AI140" i="7"/>
  <c r="AK139" i="7"/>
  <c r="AJ139" i="7"/>
  <c r="AI139" i="7"/>
  <c r="AK138" i="7"/>
  <c r="AJ138" i="7"/>
  <c r="AI138" i="7"/>
  <c r="AK137" i="7"/>
  <c r="AJ137" i="7"/>
  <c r="AI137" i="7"/>
  <c r="AK136" i="7"/>
  <c r="AJ136" i="7"/>
  <c r="AI136" i="7"/>
  <c r="AK135" i="7"/>
  <c r="AJ135" i="7"/>
  <c r="AI135" i="7"/>
  <c r="AK134" i="7"/>
  <c r="AJ134" i="7"/>
  <c r="AI134" i="7"/>
  <c r="AK133" i="7"/>
  <c r="AJ133" i="7"/>
  <c r="AI133" i="7"/>
  <c r="AK132" i="7"/>
  <c r="AJ132" i="7"/>
  <c r="AI132" i="7"/>
  <c r="AK131" i="7"/>
  <c r="AJ131" i="7"/>
  <c r="AI131" i="7"/>
  <c r="AK130" i="7"/>
  <c r="AJ130" i="7"/>
  <c r="AI130" i="7"/>
  <c r="AK128" i="7"/>
  <c r="AJ128" i="7"/>
  <c r="AI128" i="7"/>
  <c r="AK127" i="7"/>
  <c r="AJ127" i="7"/>
  <c r="AI127" i="7"/>
  <c r="AK126" i="7"/>
  <c r="AJ126" i="7"/>
  <c r="AI126" i="7"/>
  <c r="AK125" i="7"/>
  <c r="AJ125" i="7"/>
  <c r="AI125" i="7"/>
  <c r="AK124" i="7"/>
  <c r="AJ124" i="7"/>
  <c r="AI124" i="7"/>
  <c r="AK122" i="7"/>
  <c r="AJ122" i="7"/>
  <c r="AI122" i="7"/>
  <c r="AK121" i="7"/>
  <c r="AJ121" i="7"/>
  <c r="AI121" i="7"/>
  <c r="AK120" i="7"/>
  <c r="AJ120" i="7"/>
  <c r="AI120" i="7"/>
  <c r="AK119" i="7"/>
  <c r="AJ119" i="7"/>
  <c r="AI119" i="7"/>
  <c r="AK118" i="7"/>
  <c r="AJ118" i="7"/>
  <c r="AI118" i="7"/>
  <c r="AK117" i="7"/>
  <c r="AJ117" i="7"/>
  <c r="AI117" i="7"/>
  <c r="AK116" i="7"/>
  <c r="AJ116" i="7"/>
  <c r="AI116" i="7"/>
  <c r="AK115" i="7"/>
  <c r="AJ115" i="7"/>
  <c r="AI115" i="7"/>
  <c r="AK114" i="7"/>
  <c r="AJ114" i="7"/>
  <c r="AI114" i="7"/>
  <c r="AK113" i="7"/>
  <c r="AJ113" i="7"/>
  <c r="AI113" i="7"/>
  <c r="AK112" i="7"/>
  <c r="AJ112" i="7"/>
  <c r="AI112" i="7"/>
  <c r="AK111" i="7"/>
  <c r="AJ111" i="7"/>
  <c r="AI111" i="7"/>
  <c r="AK110" i="7"/>
  <c r="AJ110" i="7"/>
  <c r="AI110" i="7"/>
  <c r="AK109" i="7"/>
  <c r="AJ109" i="7"/>
  <c r="AI109" i="7"/>
  <c r="AK108" i="7"/>
  <c r="AJ108" i="7"/>
  <c r="AI108" i="7"/>
  <c r="AK107" i="7"/>
  <c r="AJ107" i="7"/>
  <c r="AI107" i="7"/>
  <c r="AK106" i="7"/>
  <c r="AJ106" i="7"/>
  <c r="AI106" i="7"/>
  <c r="AK105" i="7"/>
  <c r="AJ105" i="7"/>
  <c r="AI105" i="7"/>
  <c r="AK104" i="7"/>
  <c r="AJ104" i="7"/>
  <c r="AI104" i="7"/>
  <c r="AK103" i="7"/>
  <c r="AJ103" i="7"/>
  <c r="AI103" i="7"/>
  <c r="AK102" i="7"/>
  <c r="AJ102" i="7"/>
  <c r="AI102" i="7"/>
  <c r="AK101" i="7"/>
  <c r="AJ101" i="7"/>
  <c r="AI101" i="7"/>
  <c r="AK100" i="7"/>
  <c r="AJ100" i="7"/>
  <c r="AI100" i="7"/>
  <c r="AK99" i="7"/>
  <c r="AJ99" i="7"/>
  <c r="AI99" i="7"/>
  <c r="AK98" i="7"/>
  <c r="AJ98" i="7"/>
  <c r="AI98" i="7"/>
  <c r="AK97" i="7"/>
  <c r="AJ97" i="7"/>
  <c r="AI97" i="7"/>
  <c r="AK96" i="7"/>
  <c r="AJ96" i="7"/>
  <c r="AI96" i="7"/>
  <c r="AK95" i="7"/>
  <c r="AJ95" i="7"/>
  <c r="AI95" i="7"/>
  <c r="AK94" i="7"/>
  <c r="AJ94" i="7"/>
  <c r="AI94" i="7"/>
  <c r="AK93" i="7"/>
  <c r="AJ93" i="7"/>
  <c r="AI93" i="7"/>
  <c r="AK92" i="7"/>
  <c r="AJ92" i="7"/>
  <c r="AI92" i="7"/>
  <c r="AK91" i="7"/>
  <c r="AJ91" i="7"/>
  <c r="AI91" i="7"/>
  <c r="AK90" i="7"/>
  <c r="AJ90" i="7"/>
  <c r="AI90" i="7"/>
  <c r="AK89" i="7"/>
  <c r="AJ89" i="7"/>
  <c r="AI89" i="7"/>
  <c r="AK88" i="7"/>
  <c r="AJ88" i="7"/>
  <c r="AI88" i="7"/>
  <c r="AK87" i="7"/>
  <c r="AJ87" i="7"/>
  <c r="AI87" i="7"/>
  <c r="AK86" i="7"/>
  <c r="AJ86" i="7"/>
  <c r="AI86" i="7"/>
  <c r="AK85" i="7"/>
  <c r="AJ85" i="7"/>
  <c r="AI85" i="7"/>
  <c r="AK84" i="7"/>
  <c r="AJ84" i="7"/>
  <c r="AI84" i="7"/>
  <c r="AK83" i="7"/>
  <c r="AJ83" i="7"/>
  <c r="AI83" i="7"/>
  <c r="AK82" i="7"/>
  <c r="AJ82" i="7"/>
  <c r="AI82" i="7"/>
  <c r="AK81" i="7"/>
  <c r="AJ81" i="7"/>
  <c r="AI81" i="7"/>
  <c r="AK80" i="7"/>
  <c r="AJ80" i="7"/>
  <c r="AI80" i="7"/>
  <c r="AK79" i="7"/>
  <c r="AJ79" i="7"/>
  <c r="AI79" i="7"/>
  <c r="AK78" i="7"/>
  <c r="AJ78" i="7"/>
  <c r="AI78" i="7"/>
  <c r="AK77" i="7"/>
  <c r="AJ77" i="7"/>
  <c r="AI77" i="7"/>
  <c r="AK76" i="7"/>
  <c r="AJ76" i="7"/>
  <c r="AI76" i="7"/>
  <c r="AK75" i="7"/>
  <c r="AJ75" i="7"/>
  <c r="AI75" i="7"/>
  <c r="AK74" i="7"/>
  <c r="AJ74" i="7"/>
  <c r="AI74" i="7"/>
  <c r="AK73" i="7"/>
  <c r="AJ73" i="7"/>
  <c r="AI73" i="7"/>
  <c r="AK72" i="7"/>
  <c r="AJ72" i="7"/>
  <c r="AI72" i="7"/>
  <c r="AK71" i="7"/>
  <c r="AJ71" i="7"/>
  <c r="AI71" i="7"/>
  <c r="AK70" i="7"/>
  <c r="AJ70" i="7"/>
  <c r="AI70" i="7"/>
  <c r="AK69" i="7"/>
  <c r="AJ69" i="7"/>
  <c r="AI69" i="7"/>
  <c r="AK68" i="7"/>
  <c r="AJ68" i="7"/>
  <c r="AI68" i="7"/>
  <c r="AK67" i="7"/>
  <c r="AJ67" i="7"/>
  <c r="AI67" i="7"/>
  <c r="AK66" i="7"/>
  <c r="AJ66" i="7"/>
  <c r="AI66" i="7"/>
  <c r="AK65" i="7"/>
  <c r="AJ65" i="7"/>
  <c r="AI65" i="7"/>
  <c r="AK64" i="7"/>
  <c r="AJ64" i="7"/>
  <c r="AI64" i="7"/>
  <c r="AK63" i="7"/>
  <c r="AJ63" i="7"/>
  <c r="AI63" i="7"/>
  <c r="AK62" i="7"/>
  <c r="AJ62" i="7"/>
  <c r="AI62" i="7"/>
  <c r="AK61" i="7"/>
  <c r="AJ61" i="7"/>
  <c r="AI61" i="7"/>
  <c r="AK60" i="7"/>
  <c r="AJ60" i="7"/>
  <c r="AI60" i="7"/>
  <c r="AK57" i="7"/>
  <c r="AJ57" i="7"/>
  <c r="AI57" i="7"/>
  <c r="AK56" i="7"/>
  <c r="AJ56" i="7"/>
  <c r="AI56" i="7"/>
  <c r="AK55" i="7"/>
  <c r="AJ55" i="7"/>
  <c r="AI55" i="7"/>
  <c r="AK54" i="7"/>
  <c r="AJ54" i="7"/>
  <c r="AI54" i="7"/>
  <c r="AK52" i="7"/>
  <c r="AJ52" i="7"/>
  <c r="AI52" i="7"/>
  <c r="AK51" i="7"/>
  <c r="AJ51" i="7"/>
  <c r="AI51" i="7"/>
  <c r="AK50" i="7"/>
  <c r="AJ50" i="7"/>
  <c r="AI50" i="7"/>
  <c r="AK48" i="7"/>
  <c r="AJ48" i="7"/>
  <c r="AI48" i="7"/>
  <c r="AK47" i="7"/>
  <c r="AJ47" i="7"/>
  <c r="AI47" i="7"/>
  <c r="AK45" i="7"/>
  <c r="AJ45" i="7"/>
  <c r="AI45" i="7"/>
  <c r="AK44" i="7"/>
  <c r="AJ44" i="7"/>
  <c r="AI44" i="7"/>
  <c r="AK43" i="7"/>
  <c r="AJ43" i="7"/>
  <c r="AI43" i="7"/>
  <c r="AK42" i="7"/>
  <c r="AJ42" i="7"/>
  <c r="AI42" i="7"/>
  <c r="AK41" i="7"/>
  <c r="AJ41" i="7"/>
  <c r="AI41" i="7"/>
  <c r="AK40" i="7"/>
  <c r="AJ40" i="7"/>
  <c r="AI40" i="7"/>
  <c r="AK39" i="7"/>
  <c r="AJ39" i="7"/>
  <c r="AI39" i="7"/>
  <c r="AK38" i="7"/>
  <c r="AJ38" i="7"/>
  <c r="AI38" i="7"/>
  <c r="AK37" i="7"/>
  <c r="AJ37" i="7"/>
  <c r="AI37" i="7"/>
  <c r="AK35" i="7"/>
  <c r="AJ35" i="7"/>
  <c r="AI35" i="7"/>
  <c r="AK34" i="7"/>
  <c r="AJ34" i="7"/>
  <c r="AI34" i="7"/>
  <c r="AK32" i="7"/>
  <c r="AJ32" i="7"/>
  <c r="AI32" i="7"/>
  <c r="AK31" i="7"/>
  <c r="AJ31" i="7"/>
  <c r="AI31" i="7"/>
  <c r="AK30" i="7"/>
  <c r="AJ30" i="7"/>
  <c r="AI30" i="7"/>
  <c r="AK29" i="7"/>
  <c r="AJ29" i="7"/>
  <c r="AI29" i="7"/>
  <c r="AK28" i="7"/>
  <c r="AJ28" i="7"/>
  <c r="AI28" i="7"/>
  <c r="AK27" i="7"/>
  <c r="AJ27" i="7"/>
  <c r="AI27" i="7"/>
  <c r="AK26" i="7"/>
  <c r="AJ26" i="7"/>
  <c r="AI26" i="7"/>
  <c r="AK25" i="7"/>
  <c r="AJ25" i="7"/>
  <c r="AI25" i="7"/>
  <c r="AJ23" i="7"/>
  <c r="N7" i="5" s="1"/>
  <c r="AI23" i="7"/>
  <c r="M7" i="5" s="1"/>
  <c r="AK20" i="7"/>
  <c r="AJ20" i="7"/>
  <c r="AI20" i="7"/>
  <c r="AK19" i="7"/>
  <c r="AJ19" i="7"/>
  <c r="AI19" i="7"/>
  <c r="AK18" i="7"/>
  <c r="AJ18" i="7"/>
  <c r="AI18" i="7"/>
  <c r="AK16" i="7"/>
  <c r="AJ16" i="7"/>
  <c r="AI16" i="7"/>
  <c r="AK15" i="7"/>
  <c r="AJ15" i="7"/>
  <c r="AK14" i="7"/>
  <c r="AJ14" i="7"/>
  <c r="AI14" i="7"/>
  <c r="AK13" i="7"/>
  <c r="AJ13" i="7"/>
  <c r="AI13" i="7"/>
  <c r="AK12" i="7"/>
  <c r="AJ12" i="7"/>
  <c r="AI12" i="7"/>
  <c r="AK11" i="7"/>
  <c r="AJ11" i="7"/>
  <c r="AI11" i="7"/>
  <c r="AK10" i="7"/>
  <c r="AJ10" i="7"/>
  <c r="AI10" i="7"/>
  <c r="AK9" i="7"/>
  <c r="AJ9" i="7"/>
  <c r="AI9" i="7"/>
  <c r="AK8" i="7"/>
  <c r="AJ8" i="7"/>
  <c r="AI8" i="7"/>
  <c r="AK7" i="7"/>
  <c r="AJ7" i="7"/>
  <c r="AI7" i="7"/>
  <c r="AK6" i="7"/>
  <c r="AJ6" i="7"/>
  <c r="AI6" i="7"/>
  <c r="AK5" i="7"/>
  <c r="AJ5" i="7"/>
  <c r="AI5" i="7"/>
  <c r="AK4" i="7"/>
  <c r="AJ4" i="7"/>
  <c r="AI4" i="7"/>
  <c r="AK3" i="7"/>
  <c r="AJ3" i="7"/>
  <c r="AK316" i="6"/>
  <c r="AJ316" i="6"/>
  <c r="AI316" i="6"/>
  <c r="AK315" i="6"/>
  <c r="AJ315" i="6"/>
  <c r="AI315" i="6"/>
  <c r="AK314" i="6"/>
  <c r="AJ314" i="6"/>
  <c r="AI314" i="6"/>
  <c r="AK313" i="6"/>
  <c r="AJ313" i="6"/>
  <c r="AI313" i="6"/>
  <c r="AK312" i="6"/>
  <c r="AJ312" i="6"/>
  <c r="AI312" i="6"/>
  <c r="AK311" i="6"/>
  <c r="AJ311" i="6"/>
  <c r="AI311" i="6"/>
  <c r="AK310" i="6"/>
  <c r="AJ310" i="6"/>
  <c r="AI310" i="6"/>
  <c r="AK309" i="6"/>
  <c r="AJ309" i="6"/>
  <c r="AI309" i="6"/>
  <c r="AK306" i="6"/>
  <c r="AJ306" i="6"/>
  <c r="AI306" i="6"/>
  <c r="AK305" i="6"/>
  <c r="AJ305" i="6"/>
  <c r="AI305" i="6"/>
  <c r="AK304" i="6"/>
  <c r="AJ304" i="6"/>
  <c r="AI304" i="6"/>
  <c r="AK302" i="6"/>
  <c r="AJ302" i="6"/>
  <c r="AI302" i="6"/>
  <c r="AK301" i="6"/>
  <c r="G19" i="5" s="1"/>
  <c r="AJ301" i="6"/>
  <c r="F19" i="5" s="1"/>
  <c r="AI301" i="6"/>
  <c r="E19" i="5" s="1"/>
  <c r="AK300" i="6"/>
  <c r="AJ300" i="6"/>
  <c r="AI300" i="6"/>
  <c r="AK299" i="6"/>
  <c r="AJ299" i="6"/>
  <c r="AI299" i="6"/>
  <c r="AK297" i="6"/>
  <c r="AJ297" i="6"/>
  <c r="AI297" i="6"/>
  <c r="AK296" i="6"/>
  <c r="G18" i="5" s="1"/>
  <c r="AJ296" i="6"/>
  <c r="F18" i="5" s="1"/>
  <c r="AI296" i="6"/>
  <c r="E18" i="5" s="1"/>
  <c r="AK294" i="6"/>
  <c r="AJ294" i="6"/>
  <c r="AI294" i="6"/>
  <c r="AK293" i="6"/>
  <c r="AJ293" i="6"/>
  <c r="AI293" i="6"/>
  <c r="AK292" i="6"/>
  <c r="AJ292" i="6"/>
  <c r="AI292" i="6"/>
  <c r="AK291" i="6"/>
  <c r="AJ291" i="6"/>
  <c r="AI291" i="6"/>
  <c r="AK290" i="6"/>
  <c r="AJ290" i="6"/>
  <c r="AI290" i="6"/>
  <c r="AK289" i="6"/>
  <c r="AJ289" i="6"/>
  <c r="AI289" i="6"/>
  <c r="AK288" i="6"/>
  <c r="AJ288" i="6"/>
  <c r="AI288" i="6"/>
  <c r="AK287" i="6"/>
  <c r="AJ287" i="6"/>
  <c r="AI287" i="6"/>
  <c r="AK286" i="6"/>
  <c r="AJ286" i="6"/>
  <c r="AI286" i="6"/>
  <c r="AK285" i="6"/>
  <c r="AJ285" i="6"/>
  <c r="AI285" i="6"/>
  <c r="AK282" i="6"/>
  <c r="AJ282" i="6"/>
  <c r="AI282" i="6"/>
  <c r="AK281" i="6"/>
  <c r="AJ281" i="6"/>
  <c r="AI281" i="6"/>
  <c r="AK280" i="6"/>
  <c r="AJ280" i="6"/>
  <c r="AI280" i="6"/>
  <c r="AK279" i="6"/>
  <c r="AJ279" i="6"/>
  <c r="AI279" i="6"/>
  <c r="AK278" i="6"/>
  <c r="AJ278" i="6"/>
  <c r="AI278" i="6"/>
  <c r="AK277" i="6"/>
  <c r="AJ277" i="6"/>
  <c r="AI277" i="6"/>
  <c r="AK276" i="6"/>
  <c r="AJ276" i="6"/>
  <c r="AI276" i="6"/>
  <c r="AK275" i="6"/>
  <c r="AJ275" i="6"/>
  <c r="AI275" i="6"/>
  <c r="AK274" i="6"/>
  <c r="AJ274" i="6"/>
  <c r="AI274" i="6"/>
  <c r="AK273" i="6"/>
  <c r="AJ273" i="6"/>
  <c r="AI273" i="6"/>
  <c r="AK272" i="6"/>
  <c r="AJ272" i="6"/>
  <c r="AI272" i="6"/>
  <c r="AK270" i="6"/>
  <c r="AJ270" i="6"/>
  <c r="AI270" i="6"/>
  <c r="AK269" i="6"/>
  <c r="AJ269" i="6"/>
  <c r="AI269" i="6"/>
  <c r="AK268" i="6"/>
  <c r="AJ268" i="6"/>
  <c r="AI268" i="6"/>
  <c r="AK267" i="6"/>
  <c r="AJ267" i="6"/>
  <c r="AI267" i="6"/>
  <c r="AK266" i="6"/>
  <c r="AJ266" i="6"/>
  <c r="AI266" i="6"/>
  <c r="AK265" i="6"/>
  <c r="AJ265" i="6"/>
  <c r="AI265" i="6"/>
  <c r="AK264" i="6"/>
  <c r="AJ264" i="6"/>
  <c r="AI264" i="6"/>
  <c r="AK263" i="6"/>
  <c r="AJ263" i="6"/>
  <c r="AI263" i="6"/>
  <c r="AK262" i="6"/>
  <c r="AJ262" i="6"/>
  <c r="AI262" i="6"/>
  <c r="AJ261" i="6"/>
  <c r="AI261" i="6"/>
  <c r="AK260" i="6"/>
  <c r="AJ260" i="6"/>
  <c r="AI260" i="6"/>
  <c r="AK259" i="6"/>
  <c r="AJ259" i="6"/>
  <c r="AI259" i="6"/>
  <c r="AK258" i="6"/>
  <c r="AJ258" i="6"/>
  <c r="AI258" i="6"/>
  <c r="AK256" i="6"/>
  <c r="AJ256" i="6"/>
  <c r="AI256" i="6"/>
  <c r="AK255" i="6"/>
  <c r="AJ255" i="6"/>
  <c r="AI255" i="6"/>
  <c r="AK254" i="6"/>
  <c r="AJ254" i="6"/>
  <c r="AI254" i="6"/>
  <c r="AK253" i="6"/>
  <c r="AJ253" i="6"/>
  <c r="AI253" i="6"/>
  <c r="AK252" i="6"/>
  <c r="AJ252" i="6"/>
  <c r="AI252" i="6"/>
  <c r="AK251" i="6"/>
  <c r="AJ251" i="6"/>
  <c r="AI251" i="6"/>
  <c r="AK250" i="6"/>
  <c r="AJ250" i="6"/>
  <c r="AI250" i="6"/>
  <c r="AK249" i="6"/>
  <c r="AJ249" i="6"/>
  <c r="AI249" i="6"/>
  <c r="AK248" i="6"/>
  <c r="AJ248" i="6"/>
  <c r="AI248" i="6"/>
  <c r="AK247" i="6"/>
  <c r="AJ247" i="6"/>
  <c r="AI247" i="6"/>
  <c r="AK246" i="6"/>
  <c r="AJ246" i="6"/>
  <c r="AI246" i="6"/>
  <c r="AK245" i="6"/>
  <c r="AJ245" i="6"/>
  <c r="AI245" i="6"/>
  <c r="AK244" i="6"/>
  <c r="AJ244" i="6"/>
  <c r="AI244" i="6"/>
  <c r="AK243" i="6"/>
  <c r="AJ243" i="6"/>
  <c r="AI243" i="6"/>
  <c r="AK242" i="6"/>
  <c r="AJ242" i="6"/>
  <c r="AI242" i="6"/>
  <c r="AK241" i="6"/>
  <c r="AJ241" i="6"/>
  <c r="AI241" i="6"/>
  <c r="AK240" i="6"/>
  <c r="AJ240" i="6"/>
  <c r="AI240" i="6"/>
  <c r="AK239" i="6"/>
  <c r="AJ239" i="6"/>
  <c r="AI239" i="6"/>
  <c r="AK238" i="6"/>
  <c r="AJ238" i="6"/>
  <c r="AI238" i="6"/>
  <c r="AK237" i="6"/>
  <c r="AJ237" i="6"/>
  <c r="AI237" i="6"/>
  <c r="AK236" i="6"/>
  <c r="AJ236" i="6"/>
  <c r="AI236" i="6"/>
  <c r="AK235" i="6"/>
  <c r="AJ235" i="6"/>
  <c r="AI235" i="6"/>
  <c r="AK234" i="6"/>
  <c r="AJ234" i="6"/>
  <c r="AI234" i="6"/>
  <c r="AK233" i="6"/>
  <c r="AJ233" i="6"/>
  <c r="AI233" i="6"/>
  <c r="AK232" i="6"/>
  <c r="AJ232" i="6"/>
  <c r="AI232" i="6"/>
  <c r="AK230" i="6"/>
  <c r="AJ230" i="6"/>
  <c r="AI230" i="6"/>
  <c r="AK229" i="6"/>
  <c r="AJ229" i="6"/>
  <c r="AI229" i="6"/>
  <c r="AK228" i="6"/>
  <c r="AJ228" i="6"/>
  <c r="AI228" i="6"/>
  <c r="AK227" i="6"/>
  <c r="AJ227" i="6"/>
  <c r="AI227" i="6"/>
  <c r="AK226" i="6"/>
  <c r="AJ226" i="6"/>
  <c r="AI226" i="6"/>
  <c r="AK225" i="6"/>
  <c r="AJ225" i="6"/>
  <c r="AI225" i="6"/>
  <c r="AK224" i="6"/>
  <c r="AJ224" i="6"/>
  <c r="AI224" i="6"/>
  <c r="AK223" i="6"/>
  <c r="AJ223" i="6"/>
  <c r="AI223" i="6"/>
  <c r="AK221" i="6"/>
  <c r="AJ221" i="6"/>
  <c r="AI221" i="6"/>
  <c r="AK220" i="6"/>
  <c r="AJ220" i="6"/>
  <c r="AI220" i="6"/>
  <c r="AK219" i="6"/>
  <c r="AJ219" i="6"/>
  <c r="AI219" i="6"/>
  <c r="AK218" i="6"/>
  <c r="AJ218" i="6"/>
  <c r="AI218" i="6"/>
  <c r="AK216" i="6"/>
  <c r="AJ216" i="6"/>
  <c r="AI216" i="6"/>
  <c r="AK215" i="6"/>
  <c r="AJ215" i="6"/>
  <c r="AI215" i="6"/>
  <c r="AK214" i="6"/>
  <c r="AJ214" i="6"/>
  <c r="AI214" i="6"/>
  <c r="AK213" i="6"/>
  <c r="AJ213" i="6"/>
  <c r="AI213" i="6"/>
  <c r="AK212" i="6"/>
  <c r="AJ212" i="6"/>
  <c r="AI212" i="6"/>
  <c r="AK211" i="6"/>
  <c r="AJ211" i="6"/>
  <c r="AI211" i="6"/>
  <c r="AK210" i="6"/>
  <c r="AJ210" i="6"/>
  <c r="AI210" i="6"/>
  <c r="AK208" i="6"/>
  <c r="AJ208" i="6"/>
  <c r="AI208" i="6"/>
  <c r="AK207" i="6"/>
  <c r="AJ207" i="6"/>
  <c r="AI207" i="6"/>
  <c r="AK206" i="6"/>
  <c r="AJ206" i="6"/>
  <c r="AI206" i="6"/>
  <c r="AK205" i="6"/>
  <c r="AJ205" i="6"/>
  <c r="AI205" i="6"/>
  <c r="AK204" i="6"/>
  <c r="AJ204" i="6"/>
  <c r="AI204" i="6"/>
  <c r="AK202" i="6"/>
  <c r="AJ202" i="6"/>
  <c r="AI202" i="6"/>
  <c r="AK201" i="6"/>
  <c r="AJ201" i="6"/>
  <c r="AI201" i="6"/>
  <c r="AK200" i="6"/>
  <c r="AJ200" i="6"/>
  <c r="AI200" i="6"/>
  <c r="AK199" i="6"/>
  <c r="AJ199" i="6"/>
  <c r="AI199" i="6"/>
  <c r="AK198" i="6"/>
  <c r="AJ198" i="6"/>
  <c r="AI198" i="6"/>
  <c r="AK197" i="6"/>
  <c r="AJ197" i="6"/>
  <c r="AI197" i="6"/>
  <c r="AK196" i="6"/>
  <c r="AJ196" i="6"/>
  <c r="AI196" i="6"/>
  <c r="AK195" i="6"/>
  <c r="AJ195" i="6"/>
  <c r="AI195" i="6"/>
  <c r="AK194" i="6"/>
  <c r="AJ194" i="6"/>
  <c r="AI194" i="6"/>
  <c r="AK192" i="6"/>
  <c r="AJ192" i="6"/>
  <c r="AI192" i="6"/>
  <c r="AK191" i="6"/>
  <c r="AJ191" i="6"/>
  <c r="AI191" i="6"/>
  <c r="AK190" i="6"/>
  <c r="AJ190" i="6"/>
  <c r="AI190" i="6"/>
  <c r="AK189" i="6"/>
  <c r="AJ189" i="6"/>
  <c r="AI189" i="6"/>
  <c r="AK188" i="6"/>
  <c r="AJ188" i="6"/>
  <c r="AI188" i="6"/>
  <c r="AK187" i="6"/>
  <c r="AJ187" i="6"/>
  <c r="AI187" i="6"/>
  <c r="AK185" i="6"/>
  <c r="AJ185" i="6"/>
  <c r="AI185" i="6"/>
  <c r="AK184" i="6"/>
  <c r="AJ184" i="6"/>
  <c r="AI184" i="6"/>
  <c r="AK183" i="6"/>
  <c r="AJ183" i="6"/>
  <c r="AI183" i="6"/>
  <c r="AK182" i="6"/>
  <c r="AJ182" i="6"/>
  <c r="AI182" i="6"/>
  <c r="AK181" i="6"/>
  <c r="AJ181" i="6"/>
  <c r="AI181" i="6"/>
  <c r="AK180" i="6"/>
  <c r="AJ180" i="6"/>
  <c r="AI180" i="6"/>
  <c r="AK179" i="6"/>
  <c r="AJ179" i="6"/>
  <c r="AI179" i="6"/>
  <c r="AJ178" i="6"/>
  <c r="AI178" i="6"/>
  <c r="AK177" i="6"/>
  <c r="AJ177" i="6"/>
  <c r="AI177" i="6"/>
  <c r="AK176" i="6"/>
  <c r="AJ176" i="6"/>
  <c r="AI176" i="6"/>
  <c r="AK175" i="6"/>
  <c r="AJ175" i="6"/>
  <c r="AI175" i="6"/>
  <c r="AK174" i="6"/>
  <c r="AJ174" i="6"/>
  <c r="AI174" i="6"/>
  <c r="AK173" i="6"/>
  <c r="AJ173" i="6"/>
  <c r="AI173" i="6"/>
  <c r="AK172" i="6"/>
  <c r="AJ172" i="6"/>
  <c r="AI172" i="6"/>
  <c r="AK171" i="6"/>
  <c r="AJ171" i="6"/>
  <c r="AI171" i="6"/>
  <c r="AK170" i="6"/>
  <c r="AJ170" i="6"/>
  <c r="AI170" i="6"/>
  <c r="AK169" i="6"/>
  <c r="AJ169" i="6"/>
  <c r="AI169" i="6"/>
  <c r="AK168" i="6"/>
  <c r="AJ168" i="6"/>
  <c r="AI168" i="6"/>
  <c r="AK167" i="6"/>
  <c r="AJ167" i="6"/>
  <c r="AI167" i="6"/>
  <c r="AK165" i="6"/>
  <c r="AJ165" i="6"/>
  <c r="AI165" i="6"/>
  <c r="AK164" i="6"/>
  <c r="AJ164" i="6"/>
  <c r="AI164" i="6"/>
  <c r="AK163" i="6"/>
  <c r="AJ163" i="6"/>
  <c r="AI163" i="6"/>
  <c r="AK162" i="6"/>
  <c r="AJ162" i="6"/>
  <c r="AI162" i="6"/>
  <c r="AK161" i="6"/>
  <c r="AJ161" i="6"/>
  <c r="AI161" i="6"/>
  <c r="AK160" i="6"/>
  <c r="AJ160" i="6"/>
  <c r="AI160" i="6"/>
  <c r="AK159" i="6"/>
  <c r="AJ159" i="6"/>
  <c r="AI159" i="6"/>
  <c r="AK158" i="6"/>
  <c r="AJ158" i="6"/>
  <c r="AI158" i="6"/>
  <c r="AK157" i="6"/>
  <c r="AJ157" i="6"/>
  <c r="AI157" i="6"/>
  <c r="AK156" i="6"/>
  <c r="AJ156" i="6"/>
  <c r="AI156" i="6"/>
  <c r="AK155" i="6"/>
  <c r="AJ155" i="6"/>
  <c r="AI155" i="6"/>
  <c r="AK154" i="6"/>
  <c r="AJ154" i="6"/>
  <c r="AI154" i="6"/>
  <c r="AK153" i="6"/>
  <c r="AJ153" i="6"/>
  <c r="AI153" i="6"/>
  <c r="AK152" i="6"/>
  <c r="AJ152" i="6"/>
  <c r="AI152" i="6"/>
  <c r="AK151" i="6"/>
  <c r="AJ151" i="6"/>
  <c r="AI151" i="6"/>
  <c r="AK150" i="6"/>
  <c r="AJ150" i="6"/>
  <c r="AI150" i="6"/>
  <c r="AJ149" i="6"/>
  <c r="AI149" i="6"/>
  <c r="AK148" i="6"/>
  <c r="AJ148" i="6"/>
  <c r="AI148" i="6"/>
  <c r="AK147" i="6"/>
  <c r="AJ147" i="6"/>
  <c r="AI147" i="6"/>
  <c r="AK146" i="6"/>
  <c r="AJ146" i="6"/>
  <c r="AI146" i="6"/>
  <c r="AK145" i="6"/>
  <c r="AJ145" i="6"/>
  <c r="AI145" i="6"/>
  <c r="AK144" i="6"/>
  <c r="AJ144" i="6"/>
  <c r="AI144" i="6"/>
  <c r="AK143" i="6"/>
  <c r="AJ143" i="6"/>
  <c r="AI143" i="6"/>
  <c r="AK142" i="6"/>
  <c r="AJ142" i="6"/>
  <c r="AI142" i="6"/>
  <c r="AK141" i="6"/>
  <c r="AJ141" i="6"/>
  <c r="AI141" i="6"/>
  <c r="AK140" i="6"/>
  <c r="AJ140" i="6"/>
  <c r="AI140" i="6"/>
  <c r="AK139" i="6"/>
  <c r="AJ139" i="6"/>
  <c r="AI139" i="6"/>
  <c r="AK138" i="6"/>
  <c r="AJ138" i="6"/>
  <c r="AI138" i="6"/>
  <c r="AK137" i="6"/>
  <c r="AJ137" i="6"/>
  <c r="AI137" i="6"/>
  <c r="AK136" i="6"/>
  <c r="AJ136" i="6"/>
  <c r="AI136" i="6"/>
  <c r="AK135" i="6"/>
  <c r="AJ135" i="6"/>
  <c r="AI135" i="6"/>
  <c r="AK134" i="6"/>
  <c r="AJ134" i="6"/>
  <c r="AI134" i="6"/>
  <c r="AK133" i="6"/>
  <c r="AJ133" i="6"/>
  <c r="AI133" i="6"/>
  <c r="AK132" i="6"/>
  <c r="AJ132" i="6"/>
  <c r="AI132" i="6"/>
  <c r="AK131" i="6"/>
  <c r="AJ131" i="6"/>
  <c r="AI131" i="6"/>
  <c r="AK130" i="6"/>
  <c r="AJ130" i="6"/>
  <c r="AI130" i="6"/>
  <c r="AK129" i="6"/>
  <c r="AJ129" i="6"/>
  <c r="AI129" i="6"/>
  <c r="AK128" i="6"/>
  <c r="AJ128" i="6"/>
  <c r="AI128" i="6"/>
  <c r="AK127" i="6"/>
  <c r="AJ127" i="6"/>
  <c r="AI127" i="6"/>
  <c r="AK126" i="6"/>
  <c r="AJ126" i="6"/>
  <c r="AI126" i="6"/>
  <c r="AK125" i="6"/>
  <c r="AJ125" i="6"/>
  <c r="AI125" i="6"/>
  <c r="AK124" i="6"/>
  <c r="AJ124" i="6"/>
  <c r="AI124" i="6"/>
  <c r="AK123" i="6"/>
  <c r="AJ123" i="6"/>
  <c r="AI123" i="6"/>
  <c r="AK122" i="6"/>
  <c r="AJ122" i="6"/>
  <c r="AI122" i="6"/>
  <c r="AK121" i="6"/>
  <c r="AJ121" i="6"/>
  <c r="AI121" i="6"/>
  <c r="AK120" i="6"/>
  <c r="AJ120" i="6"/>
  <c r="AI120" i="6"/>
  <c r="AK119" i="6"/>
  <c r="AJ119" i="6"/>
  <c r="AI119" i="6"/>
  <c r="AJ118" i="6"/>
  <c r="AI118" i="6"/>
  <c r="AK117" i="6"/>
  <c r="AJ117" i="6"/>
  <c r="AI117" i="6"/>
  <c r="AK116" i="6"/>
  <c r="AJ116" i="6"/>
  <c r="AI116" i="6"/>
  <c r="AK115" i="6"/>
  <c r="AJ115" i="6"/>
  <c r="AI115" i="6"/>
  <c r="AK114" i="6"/>
  <c r="AJ114" i="6"/>
  <c r="AI114" i="6"/>
  <c r="AK113" i="6"/>
  <c r="AJ113" i="6"/>
  <c r="AI113" i="6"/>
  <c r="AK112" i="6"/>
  <c r="AJ112" i="6"/>
  <c r="AI112" i="6"/>
  <c r="AJ111" i="6"/>
  <c r="AI111" i="6"/>
  <c r="AK110" i="6"/>
  <c r="AJ110" i="6"/>
  <c r="AI110" i="6"/>
  <c r="AK109" i="6"/>
  <c r="AJ109" i="6"/>
  <c r="AI109" i="6"/>
  <c r="AK108" i="6"/>
  <c r="AJ108" i="6"/>
  <c r="AI108" i="6"/>
  <c r="AK107" i="6"/>
  <c r="AJ107" i="6"/>
  <c r="AI107" i="6"/>
  <c r="AK106" i="6"/>
  <c r="AJ106" i="6"/>
  <c r="AI106" i="6"/>
  <c r="AK105" i="6"/>
  <c r="AJ105" i="6"/>
  <c r="AI105" i="6"/>
  <c r="AK104" i="6"/>
  <c r="AJ104" i="6"/>
  <c r="AI104" i="6"/>
  <c r="AK103" i="6"/>
  <c r="AJ103" i="6"/>
  <c r="AI103" i="6"/>
  <c r="AK102" i="6"/>
  <c r="AJ102" i="6"/>
  <c r="AI102" i="6"/>
  <c r="AK101" i="6"/>
  <c r="AJ101" i="6"/>
  <c r="AI101" i="6"/>
  <c r="AK100" i="6"/>
  <c r="AJ100" i="6"/>
  <c r="AI100" i="6"/>
  <c r="AK99" i="6"/>
  <c r="AJ99" i="6"/>
  <c r="AI99" i="6"/>
  <c r="AK98" i="6"/>
  <c r="AJ98" i="6"/>
  <c r="AI98" i="6"/>
  <c r="AK97" i="6"/>
  <c r="AJ97" i="6"/>
  <c r="AI97" i="6"/>
  <c r="AK96" i="6"/>
  <c r="AJ96" i="6"/>
  <c r="AI96" i="6"/>
  <c r="AK95" i="6"/>
  <c r="AJ95" i="6"/>
  <c r="AI95" i="6"/>
  <c r="AK94" i="6"/>
  <c r="AJ94" i="6"/>
  <c r="AI94" i="6"/>
  <c r="AK93" i="6"/>
  <c r="AJ93" i="6"/>
  <c r="AI93" i="6"/>
  <c r="AK92" i="6"/>
  <c r="AJ92" i="6"/>
  <c r="AI92" i="6"/>
  <c r="AK91" i="6"/>
  <c r="AJ91" i="6"/>
  <c r="AI91" i="6"/>
  <c r="AK90" i="6"/>
  <c r="AJ90" i="6"/>
  <c r="AI90" i="6"/>
  <c r="AK89" i="6"/>
  <c r="AJ89" i="6"/>
  <c r="AI89" i="6"/>
  <c r="AK88" i="6"/>
  <c r="AJ88" i="6"/>
  <c r="AI88" i="6"/>
  <c r="AK87" i="6"/>
  <c r="AJ87" i="6"/>
  <c r="AI87" i="6"/>
  <c r="AK86" i="6"/>
  <c r="AJ86" i="6"/>
  <c r="AI86" i="6"/>
  <c r="AK85" i="6"/>
  <c r="AJ85" i="6"/>
  <c r="AI85" i="6"/>
  <c r="AK84" i="6"/>
  <c r="AJ84" i="6"/>
  <c r="AI84" i="6"/>
  <c r="AK83" i="6"/>
  <c r="G12" i="5" s="1"/>
  <c r="AJ83" i="6"/>
  <c r="F12" i="5" s="1"/>
  <c r="AK82" i="6"/>
  <c r="AJ82" i="6"/>
  <c r="AI82" i="6"/>
  <c r="AK81" i="6"/>
  <c r="AJ81" i="6"/>
  <c r="AI81" i="6"/>
  <c r="AK80" i="6"/>
  <c r="AJ80" i="6"/>
  <c r="AI80" i="6"/>
  <c r="AK79" i="6"/>
  <c r="AJ79" i="6"/>
  <c r="AI79" i="6"/>
  <c r="AK78" i="6"/>
  <c r="AJ78" i="6"/>
  <c r="AI78" i="6"/>
  <c r="AK77" i="6"/>
  <c r="AJ77" i="6"/>
  <c r="AI77" i="6"/>
  <c r="AK76" i="6"/>
  <c r="AJ76" i="6"/>
  <c r="AI76" i="6"/>
  <c r="AK75" i="6"/>
  <c r="AJ75" i="6"/>
  <c r="AI75" i="6"/>
  <c r="AK74" i="6"/>
  <c r="AJ74" i="6"/>
  <c r="AI74" i="6"/>
  <c r="AK73" i="6"/>
  <c r="AJ73" i="6"/>
  <c r="AI73" i="6"/>
  <c r="AK72" i="6"/>
  <c r="AJ72" i="6"/>
  <c r="AK46" i="6"/>
  <c r="AJ46" i="6"/>
  <c r="AI46" i="6"/>
  <c r="AK45" i="6"/>
  <c r="AJ45" i="6"/>
  <c r="AI45" i="6"/>
  <c r="AK44" i="6"/>
  <c r="AJ44" i="6"/>
  <c r="AI44" i="6"/>
  <c r="AK43" i="6"/>
  <c r="AJ43" i="6"/>
  <c r="AI43" i="6"/>
  <c r="AK42" i="6"/>
  <c r="AJ42" i="6"/>
  <c r="AI42" i="6"/>
  <c r="AK41" i="6"/>
  <c r="AJ41" i="6"/>
  <c r="AI41" i="6"/>
  <c r="AK40" i="6"/>
  <c r="AJ40" i="6"/>
  <c r="AI40" i="6"/>
  <c r="AK39" i="6"/>
  <c r="AJ39" i="6"/>
  <c r="AI39" i="6"/>
  <c r="AK38" i="6"/>
  <c r="AJ38" i="6"/>
  <c r="AI38" i="6"/>
  <c r="AK37" i="6"/>
  <c r="AJ37" i="6"/>
  <c r="AI37" i="6"/>
  <c r="AJ36" i="6"/>
  <c r="AK35" i="6"/>
  <c r="AJ35" i="6"/>
  <c r="AI35" i="6"/>
  <c r="AK34" i="6"/>
  <c r="AJ34" i="6"/>
  <c r="AI34" i="6"/>
  <c r="AK33" i="6"/>
  <c r="AJ33" i="6"/>
  <c r="AI33" i="6"/>
  <c r="AK32" i="6"/>
  <c r="AJ32" i="6"/>
  <c r="AI32" i="6"/>
  <c r="AK31" i="6"/>
  <c r="AJ31" i="6"/>
  <c r="AI31" i="6"/>
  <c r="AK30" i="6"/>
  <c r="AJ30" i="6"/>
  <c r="AI30" i="6"/>
  <c r="AK29" i="6"/>
  <c r="AJ29" i="6"/>
  <c r="AI29" i="6"/>
  <c r="AK28" i="6"/>
  <c r="AJ28" i="6"/>
  <c r="AI28" i="6"/>
  <c r="AK27" i="6"/>
  <c r="AJ27" i="6"/>
  <c r="AI27" i="6"/>
  <c r="AK26" i="6"/>
  <c r="AJ26" i="6"/>
  <c r="AI26" i="6"/>
  <c r="AK25" i="6"/>
  <c r="AJ25" i="6"/>
  <c r="AI25" i="6"/>
  <c r="AK24" i="6"/>
  <c r="AJ24" i="6"/>
  <c r="AI24" i="6"/>
  <c r="AK23" i="6"/>
  <c r="AJ23" i="6"/>
  <c r="AI23" i="6"/>
  <c r="AK22" i="6"/>
  <c r="AJ22" i="6"/>
  <c r="AI22" i="6"/>
  <c r="AK21" i="6"/>
  <c r="AJ21" i="6"/>
  <c r="AI21" i="6"/>
  <c r="AK20" i="6"/>
  <c r="AJ20" i="6"/>
  <c r="AI20" i="6"/>
  <c r="AK19" i="6"/>
  <c r="AJ19" i="6"/>
  <c r="AI19" i="6"/>
  <c r="AK18" i="6"/>
  <c r="AJ18" i="6"/>
  <c r="AI18" i="6"/>
  <c r="AK17" i="6"/>
  <c r="AJ17" i="6"/>
  <c r="AI17" i="6"/>
  <c r="AK16" i="6"/>
  <c r="AJ16" i="6"/>
  <c r="AI16" i="6"/>
  <c r="AK15" i="6"/>
  <c r="AJ15" i="6"/>
  <c r="AI15" i="6"/>
  <c r="AK14" i="6"/>
  <c r="AJ14" i="6"/>
  <c r="AI14" i="6"/>
  <c r="AK13" i="6"/>
  <c r="AJ13" i="6"/>
  <c r="AI13" i="6"/>
  <c r="AK12" i="6"/>
  <c r="AJ12" i="6"/>
  <c r="AI12" i="6"/>
  <c r="AK10" i="6"/>
  <c r="AJ10" i="6"/>
  <c r="AI10" i="6"/>
  <c r="AK9" i="6"/>
  <c r="AJ9" i="6"/>
  <c r="AI9" i="6"/>
  <c r="AK8" i="6"/>
  <c r="AJ8" i="6"/>
  <c r="AI8" i="6"/>
  <c r="AK7" i="6"/>
  <c r="AJ7" i="6"/>
  <c r="AI7" i="6"/>
  <c r="AK6" i="6"/>
  <c r="AJ6" i="6"/>
  <c r="AI6" i="6"/>
  <c r="AK4" i="6"/>
  <c r="AJ4" i="6"/>
  <c r="AI4" i="6"/>
  <c r="AK3" i="6"/>
  <c r="AJ3" i="6"/>
  <c r="AI3" i="6"/>
  <c r="AJ21" i="7" l="1"/>
  <c r="AI21" i="7"/>
  <c r="H21" i="12"/>
  <c r="H39" i="12"/>
  <c r="H37" i="12" l="1"/>
  <c r="C38" i="13"/>
  <c r="H36" i="12"/>
  <c r="F36" i="12" l="1"/>
  <c r="D36" i="12"/>
  <c r="H33" i="12"/>
  <c r="F33" i="12"/>
  <c r="D33" i="12"/>
  <c r="D25" i="12" s="1"/>
  <c r="H26" i="12"/>
  <c r="H25" i="12" s="1"/>
  <c r="F26" i="12"/>
  <c r="F25" i="12" s="1"/>
  <c r="D26" i="12"/>
  <c r="F22" i="12"/>
  <c r="F19" i="12" s="1"/>
  <c r="F20" i="12"/>
  <c r="D20" i="12"/>
  <c r="D19" i="12"/>
  <c r="G16" i="12"/>
  <c r="G15" i="12" s="1"/>
  <c r="E16" i="12"/>
  <c r="E15" i="12" s="1"/>
  <c r="C16" i="12"/>
  <c r="C15" i="12" s="1"/>
  <c r="G12" i="12"/>
  <c r="G7" i="12"/>
  <c r="G6" i="12" s="1"/>
  <c r="G5" i="12" s="1"/>
  <c r="G14" i="12" s="1"/>
  <c r="E7" i="12"/>
  <c r="E6" i="12" s="1"/>
  <c r="E5" i="12" s="1"/>
  <c r="E14" i="12" s="1"/>
  <c r="C7" i="12"/>
  <c r="C6" i="12" s="1"/>
  <c r="C5" i="12" s="1"/>
  <c r="C14" i="12" s="1"/>
  <c r="C3" i="12" l="1"/>
  <c r="E3" i="12"/>
  <c r="D42" i="12"/>
  <c r="D3" i="12" s="1"/>
  <c r="G3" i="12"/>
  <c r="F42" i="12"/>
  <c r="F3" i="12" s="1"/>
  <c r="C27" i="10"/>
  <c r="C45" i="9"/>
  <c r="C46" i="9" s="1"/>
  <c r="AI204" i="7" l="1"/>
  <c r="AI201" i="7"/>
  <c r="AI15" i="7"/>
  <c r="AI3" i="7"/>
  <c r="N116" i="11" l="1"/>
  <c r="N118" i="11"/>
  <c r="O118" i="11" s="1"/>
  <c r="I67" i="11" l="1"/>
  <c r="AI36" i="6" l="1"/>
  <c r="AI83" i="6" l="1"/>
  <c r="E12" i="5" s="1"/>
  <c r="AI72" i="6"/>
  <c r="B7" i="11"/>
  <c r="I268" i="11" l="1"/>
  <c r="I267" i="11"/>
  <c r="O266" i="11"/>
  <c r="N266" i="11"/>
  <c r="M266" i="11"/>
  <c r="L266" i="11"/>
  <c r="K266" i="11"/>
  <c r="H266" i="11"/>
  <c r="G266" i="11"/>
  <c r="F266" i="11"/>
  <c r="E266" i="11"/>
  <c r="D266" i="11"/>
  <c r="C266" i="11"/>
  <c r="B266" i="11"/>
  <c r="O265" i="11"/>
  <c r="I265" i="11"/>
  <c r="O264" i="11"/>
  <c r="I264" i="11"/>
  <c r="O263" i="11"/>
  <c r="I263" i="11"/>
  <c r="O261" i="11"/>
  <c r="O260" i="11"/>
  <c r="O259" i="11"/>
  <c r="O258" i="11"/>
  <c r="O257" i="11"/>
  <c r="I257" i="11"/>
  <c r="N256" i="11"/>
  <c r="M256" i="11"/>
  <c r="L256" i="11"/>
  <c r="K256" i="11"/>
  <c r="H256" i="11"/>
  <c r="G256" i="11"/>
  <c r="F256" i="11"/>
  <c r="E256" i="11"/>
  <c r="D256" i="11"/>
  <c r="C256" i="11"/>
  <c r="B256" i="11"/>
  <c r="O255" i="11"/>
  <c r="I255" i="11"/>
  <c r="O254" i="11"/>
  <c r="I254" i="11"/>
  <c r="I253" i="11"/>
  <c r="O251" i="11"/>
  <c r="I251" i="11"/>
  <c r="O250" i="11"/>
  <c r="I250" i="11"/>
  <c r="O248" i="11"/>
  <c r="I248" i="11"/>
  <c r="O246" i="11"/>
  <c r="I246" i="11"/>
  <c r="O245" i="11"/>
  <c r="I245" i="11"/>
  <c r="O243" i="11"/>
  <c r="O242" i="11"/>
  <c r="O241" i="11"/>
  <c r="O240" i="11"/>
  <c r="I240" i="11"/>
  <c r="N238" i="11"/>
  <c r="M238" i="11"/>
  <c r="L238" i="11"/>
  <c r="K238" i="11"/>
  <c r="H238" i="11"/>
  <c r="G238" i="11"/>
  <c r="F238" i="11"/>
  <c r="E238" i="11"/>
  <c r="D238" i="11"/>
  <c r="C238" i="11"/>
  <c r="B238" i="11"/>
  <c r="O237" i="11"/>
  <c r="I237" i="11"/>
  <c r="O236" i="11"/>
  <c r="I236" i="11"/>
  <c r="O235" i="11"/>
  <c r="I235" i="11"/>
  <c r="O234" i="11"/>
  <c r="I234" i="11"/>
  <c r="O233" i="11"/>
  <c r="I233" i="11"/>
  <c r="O232" i="11"/>
  <c r="I232" i="11"/>
  <c r="O230" i="11"/>
  <c r="O229" i="11"/>
  <c r="O228" i="11"/>
  <c r="O226" i="11"/>
  <c r="O222" i="11"/>
  <c r="O221" i="11"/>
  <c r="O220" i="11"/>
  <c r="O219" i="11"/>
  <c r="N217" i="11"/>
  <c r="M217" i="11"/>
  <c r="L217" i="11"/>
  <c r="K217" i="11"/>
  <c r="H217" i="11"/>
  <c r="G217" i="11"/>
  <c r="F217" i="11"/>
  <c r="E217" i="11"/>
  <c r="D217" i="11"/>
  <c r="C217" i="11"/>
  <c r="B217" i="11"/>
  <c r="O216" i="11"/>
  <c r="I216" i="11"/>
  <c r="I215" i="11"/>
  <c r="I214" i="11"/>
  <c r="I213" i="11"/>
  <c r="I212" i="11"/>
  <c r="I211" i="11"/>
  <c r="O210" i="11"/>
  <c r="I210" i="11"/>
  <c r="O209" i="11"/>
  <c r="I209" i="11"/>
  <c r="O208" i="11"/>
  <c r="I208" i="11"/>
  <c r="I207" i="11"/>
  <c r="I206" i="11"/>
  <c r="I205" i="11"/>
  <c r="I204" i="11"/>
  <c r="O203" i="11"/>
  <c r="I203" i="11"/>
  <c r="O201" i="11"/>
  <c r="O200" i="11"/>
  <c r="O199" i="11"/>
  <c r="O198" i="11"/>
  <c r="O197" i="11"/>
  <c r="O196" i="11"/>
  <c r="O195" i="11"/>
  <c r="O194" i="11"/>
  <c r="O192" i="11"/>
  <c r="O191" i="11"/>
  <c r="O189" i="11"/>
  <c r="O188" i="11"/>
  <c r="O187" i="11"/>
  <c r="O186" i="11"/>
  <c r="O184" i="11"/>
  <c r="O183" i="11"/>
  <c r="O182" i="11"/>
  <c r="O181" i="11"/>
  <c r="O180" i="11"/>
  <c r="O178" i="11"/>
  <c r="O177" i="11"/>
  <c r="O175" i="11"/>
  <c r="O174" i="11"/>
  <c r="O173" i="11"/>
  <c r="O172" i="11"/>
  <c r="O171" i="11"/>
  <c r="O170" i="11"/>
  <c r="O169" i="11"/>
  <c r="O167" i="11"/>
  <c r="O166" i="11"/>
  <c r="O165" i="11"/>
  <c r="O164" i="11"/>
  <c r="N162" i="11"/>
  <c r="M162" i="11"/>
  <c r="L162" i="11"/>
  <c r="K162" i="11"/>
  <c r="H162" i="11"/>
  <c r="G162" i="11"/>
  <c r="F162" i="11"/>
  <c r="E162" i="11"/>
  <c r="D162" i="11"/>
  <c r="C162" i="11"/>
  <c r="B162" i="11"/>
  <c r="O161" i="11"/>
  <c r="I161" i="11"/>
  <c r="O160" i="11"/>
  <c r="I160" i="11"/>
  <c r="O159" i="11"/>
  <c r="I159" i="11"/>
  <c r="O158" i="11"/>
  <c r="I158" i="11"/>
  <c r="O157" i="11"/>
  <c r="I157" i="11"/>
  <c r="O156" i="11"/>
  <c r="I156" i="11"/>
  <c r="O155" i="11"/>
  <c r="H155" i="11"/>
  <c r="I155" i="11" s="1"/>
  <c r="O154" i="11"/>
  <c r="I154" i="11"/>
  <c r="O153" i="11"/>
  <c r="H153" i="11"/>
  <c r="I153" i="11" s="1"/>
  <c r="O152" i="11"/>
  <c r="I152" i="11"/>
  <c r="O151" i="11"/>
  <c r="I151" i="11"/>
  <c r="O150" i="11"/>
  <c r="I150" i="11"/>
  <c r="O149" i="11"/>
  <c r="I149" i="11"/>
  <c r="O148" i="11"/>
  <c r="I148" i="11"/>
  <c r="I147" i="11"/>
  <c r="I146" i="11"/>
  <c r="N145" i="11"/>
  <c r="O145" i="11" s="1"/>
  <c r="H145" i="11"/>
  <c r="I145" i="11" s="1"/>
  <c r="N144" i="11"/>
  <c r="O144" i="11" s="1"/>
  <c r="I144" i="11"/>
  <c r="N143" i="11"/>
  <c r="O143" i="11" s="1"/>
  <c r="I143" i="11"/>
  <c r="N142" i="11"/>
  <c r="O142" i="11" s="1"/>
  <c r="H142" i="11"/>
  <c r="I142" i="11" s="1"/>
  <c r="N141" i="11"/>
  <c r="O141" i="11" s="1"/>
  <c r="H141" i="11"/>
  <c r="I141" i="11" s="1"/>
  <c r="N140" i="11"/>
  <c r="O140" i="11" s="1"/>
  <c r="H140" i="11"/>
  <c r="I140" i="11" s="1"/>
  <c r="N139" i="11"/>
  <c r="O139" i="11" s="1"/>
  <c r="H139" i="11"/>
  <c r="I139" i="11" s="1"/>
  <c r="N138" i="11"/>
  <c r="O138" i="11" s="1"/>
  <c r="I138" i="11"/>
  <c r="N137" i="11"/>
  <c r="O137" i="11" s="1"/>
  <c r="H137" i="11"/>
  <c r="I137" i="11" s="1"/>
  <c r="N136" i="11"/>
  <c r="O136" i="11" s="1"/>
  <c r="H136" i="11"/>
  <c r="I136" i="11" s="1"/>
  <c r="N135" i="11"/>
  <c r="O135" i="11" s="1"/>
  <c r="I135" i="11"/>
  <c r="N134" i="11"/>
  <c r="O134" i="11" s="1"/>
  <c r="H134" i="11"/>
  <c r="I134" i="11" s="1"/>
  <c r="N133" i="11"/>
  <c r="O133" i="11" s="1"/>
  <c r="I133" i="11"/>
  <c r="N132" i="11"/>
  <c r="O132" i="11" s="1"/>
  <c r="H132" i="11"/>
  <c r="I132" i="11" s="1"/>
  <c r="N131" i="11"/>
  <c r="O131" i="11" s="1"/>
  <c r="H131" i="11"/>
  <c r="I131" i="11" s="1"/>
  <c r="N130" i="11"/>
  <c r="O130" i="11" s="1"/>
  <c r="H130" i="11"/>
  <c r="I130" i="11" s="1"/>
  <c r="N129" i="11"/>
  <c r="O129" i="11" s="1"/>
  <c r="H129" i="11"/>
  <c r="I129" i="11" s="1"/>
  <c r="N128" i="11"/>
  <c r="O128" i="11" s="1"/>
  <c r="H128" i="11"/>
  <c r="I128" i="11" s="1"/>
  <c r="N127" i="11"/>
  <c r="O127" i="11" s="1"/>
  <c r="H127" i="11"/>
  <c r="I127" i="11" s="1"/>
  <c r="N126" i="11"/>
  <c r="O126" i="11" s="1"/>
  <c r="H126" i="11"/>
  <c r="I126" i="11" s="1"/>
  <c r="N125" i="11"/>
  <c r="O125" i="11" s="1"/>
  <c r="H125" i="11"/>
  <c r="I125" i="11" s="1"/>
  <c r="N124" i="11"/>
  <c r="O124" i="11" s="1"/>
  <c r="H124" i="11"/>
  <c r="I124" i="11" s="1"/>
  <c r="N123" i="11"/>
  <c r="O123" i="11" s="1"/>
  <c r="H123" i="11"/>
  <c r="I123" i="11" s="1"/>
  <c r="N122" i="11"/>
  <c r="O122" i="11" s="1"/>
  <c r="H122" i="11"/>
  <c r="I122" i="11" s="1"/>
  <c r="N121" i="11"/>
  <c r="O121" i="11" s="1"/>
  <c r="H121" i="11"/>
  <c r="I121" i="11" s="1"/>
  <c r="N120" i="11"/>
  <c r="O120" i="11" s="1"/>
  <c r="H120" i="11"/>
  <c r="I120" i="11" s="1"/>
  <c r="N119" i="11"/>
  <c r="O119" i="11" s="1"/>
  <c r="I119" i="11"/>
  <c r="N117" i="11"/>
  <c r="O117" i="11" s="1"/>
  <c r="H117" i="11"/>
  <c r="I117" i="11" s="1"/>
  <c r="O116" i="11"/>
  <c r="H116" i="11"/>
  <c r="I116" i="11" s="1"/>
  <c r="N114" i="11"/>
  <c r="O114" i="11" s="1"/>
  <c r="H114" i="11"/>
  <c r="I114" i="11" s="1"/>
  <c r="N113" i="11"/>
  <c r="O113" i="11" s="1"/>
  <c r="H113" i="11"/>
  <c r="I113" i="11" s="1"/>
  <c r="N112" i="11"/>
  <c r="O112" i="11" s="1"/>
  <c r="H112" i="11"/>
  <c r="I112" i="11" s="1"/>
  <c r="N111" i="11"/>
  <c r="O111" i="11" s="1"/>
  <c r="H111" i="11"/>
  <c r="I111" i="11" s="1"/>
  <c r="N110" i="11"/>
  <c r="O110" i="11" s="1"/>
  <c r="H110" i="11"/>
  <c r="I110" i="11" s="1"/>
  <c r="N109" i="11"/>
  <c r="O109" i="11" s="1"/>
  <c r="H109" i="11"/>
  <c r="I109" i="11" s="1"/>
  <c r="N108" i="11"/>
  <c r="O108" i="11" s="1"/>
  <c r="H108" i="11"/>
  <c r="I108" i="11" s="1"/>
  <c r="M107" i="11"/>
  <c r="L107" i="11"/>
  <c r="K107" i="11"/>
  <c r="G107" i="11"/>
  <c r="F107" i="11"/>
  <c r="E107" i="11"/>
  <c r="D107" i="11"/>
  <c r="C107" i="11"/>
  <c r="B107" i="11"/>
  <c r="O106" i="11"/>
  <c r="I106" i="11"/>
  <c r="O105" i="11"/>
  <c r="I105" i="11"/>
  <c r="O104" i="11"/>
  <c r="I104" i="11"/>
  <c r="O103" i="11"/>
  <c r="I103" i="11"/>
  <c r="O102" i="11"/>
  <c r="I102" i="11"/>
  <c r="O101" i="11"/>
  <c r="I101" i="11"/>
  <c r="O100" i="11"/>
  <c r="I100" i="11"/>
  <c r="O99" i="11"/>
  <c r="I99" i="11"/>
  <c r="O98" i="11"/>
  <c r="I98" i="11"/>
  <c r="O97" i="11"/>
  <c r="I97" i="11"/>
  <c r="O96" i="11"/>
  <c r="I96" i="11"/>
  <c r="O95" i="11"/>
  <c r="I95" i="11"/>
  <c r="O94" i="11"/>
  <c r="I94" i="11"/>
  <c r="O93" i="11"/>
  <c r="I93" i="11"/>
  <c r="O92" i="11"/>
  <c r="I92" i="11"/>
  <c r="O91" i="11"/>
  <c r="I91" i="11"/>
  <c r="O90" i="11"/>
  <c r="I90" i="11"/>
  <c r="O89" i="11"/>
  <c r="I89" i="11"/>
  <c r="O88" i="11"/>
  <c r="I88" i="11"/>
  <c r="O87" i="11"/>
  <c r="I87" i="11"/>
  <c r="O86" i="11"/>
  <c r="I86" i="11"/>
  <c r="O85" i="11"/>
  <c r="I85" i="11"/>
  <c r="O84" i="11"/>
  <c r="I84" i="11"/>
  <c r="O82" i="11"/>
  <c r="I82" i="11"/>
  <c r="O81" i="11"/>
  <c r="I81" i="11"/>
  <c r="O80" i="11"/>
  <c r="I80" i="11"/>
  <c r="O79" i="11"/>
  <c r="I79" i="11"/>
  <c r="O78" i="11"/>
  <c r="I78" i="11"/>
  <c r="N77" i="11"/>
  <c r="M77" i="11"/>
  <c r="L77" i="11"/>
  <c r="K77" i="11"/>
  <c r="H77" i="11"/>
  <c r="G77" i="11"/>
  <c r="F77" i="11"/>
  <c r="E77" i="11"/>
  <c r="D77" i="11"/>
  <c r="C77" i="11"/>
  <c r="B77" i="11"/>
  <c r="N75" i="11"/>
  <c r="O75" i="11" s="1"/>
  <c r="N74" i="11"/>
  <c r="O74" i="11" s="1"/>
  <c r="N73" i="11"/>
  <c r="O73" i="11" s="1"/>
  <c r="H72" i="11"/>
  <c r="I72" i="11" s="1"/>
  <c r="D71" i="11"/>
  <c r="H71" i="11" s="1"/>
  <c r="H70" i="11"/>
  <c r="I70" i="11" s="1"/>
  <c r="H69" i="11"/>
  <c r="E69" i="11"/>
  <c r="I68" i="11"/>
  <c r="I66" i="11"/>
  <c r="M65" i="11"/>
  <c r="L65" i="11"/>
  <c r="K65" i="11"/>
  <c r="G65" i="11"/>
  <c r="F65" i="11"/>
  <c r="E65" i="11"/>
  <c r="C65" i="11"/>
  <c r="B65" i="11"/>
  <c r="O63" i="11"/>
  <c r="O59" i="11"/>
  <c r="O54" i="11"/>
  <c r="O49" i="11"/>
  <c r="O46" i="11"/>
  <c r="H46" i="11"/>
  <c r="I46" i="11" s="1"/>
  <c r="H43" i="11"/>
  <c r="I43" i="11" s="1"/>
  <c r="H41" i="11"/>
  <c r="I41" i="11" s="1"/>
  <c r="H36" i="11"/>
  <c r="I36" i="11" s="1"/>
  <c r="I35" i="11"/>
  <c r="I34" i="11"/>
  <c r="I31" i="11"/>
  <c r="I30" i="11"/>
  <c r="N27" i="11"/>
  <c r="O27" i="11" s="1"/>
  <c r="I25" i="11"/>
  <c r="I24" i="11"/>
  <c r="H20" i="11"/>
  <c r="I20" i="11" s="1"/>
  <c r="H19" i="11"/>
  <c r="I19" i="11" s="1"/>
  <c r="I15" i="11"/>
  <c r="I14" i="11"/>
  <c r="I13" i="11"/>
  <c r="I12" i="11"/>
  <c r="H10" i="11"/>
  <c r="I10" i="11" s="1"/>
  <c r="I9" i="11"/>
  <c r="I8" i="11"/>
  <c r="I7" i="11"/>
  <c r="M6" i="11"/>
  <c r="L6" i="11"/>
  <c r="G6" i="11"/>
  <c r="F6" i="11"/>
  <c r="B6" i="11"/>
  <c r="C19" i="10"/>
  <c r="C7" i="10"/>
  <c r="K4" i="10"/>
  <c r="I4" i="10"/>
  <c r="G4" i="10"/>
  <c r="G2" i="10" s="1"/>
  <c r="E4" i="10"/>
  <c r="J12" i="8" s="1"/>
  <c r="E2" i="10" l="1"/>
  <c r="F2" i="10" s="1"/>
  <c r="G5" i="11"/>
  <c r="D6" i="11"/>
  <c r="O238" i="11"/>
  <c r="I69" i="11"/>
  <c r="O217" i="11"/>
  <c r="O44" i="11"/>
  <c r="I17" i="11"/>
  <c r="I29" i="11"/>
  <c r="O53" i="11"/>
  <c r="I18" i="11"/>
  <c r="I37" i="11"/>
  <c r="O50" i="11"/>
  <c r="O62" i="11"/>
  <c r="I217" i="11"/>
  <c r="C6" i="11"/>
  <c r="M5" i="11"/>
  <c r="I38" i="11"/>
  <c r="H65" i="11"/>
  <c r="B5" i="11"/>
  <c r="J4" i="10"/>
  <c r="H4" i="10"/>
  <c r="I2" i="10"/>
  <c r="H2" i="10" s="1"/>
  <c r="K2" i="10"/>
  <c r="F5" i="11"/>
  <c r="L5" i="11"/>
  <c r="F4" i="10"/>
  <c r="O52" i="11"/>
  <c r="N65" i="11"/>
  <c r="O65" i="11" s="1"/>
  <c r="O162" i="11"/>
  <c r="E6" i="11"/>
  <c r="O61" i="11"/>
  <c r="N107" i="11"/>
  <c r="I238" i="11"/>
  <c r="I266" i="11"/>
  <c r="O57" i="11"/>
  <c r="I33" i="11"/>
  <c r="I256" i="11"/>
  <c r="I71" i="11"/>
  <c r="O48" i="11"/>
  <c r="O58" i="11"/>
  <c r="O256" i="11"/>
  <c r="K6" i="11"/>
  <c r="I40" i="11"/>
  <c r="D65" i="11"/>
  <c r="O77" i="11"/>
  <c r="I162" i="11"/>
  <c r="I11" i="11"/>
  <c r="I16" i="11"/>
  <c r="I22" i="11"/>
  <c r="I23" i="11"/>
  <c r="I26" i="11"/>
  <c r="I27" i="11"/>
  <c r="I28" i="11"/>
  <c r="I32" i="11"/>
  <c r="I39" i="11"/>
  <c r="I42" i="11"/>
  <c r="O47" i="11"/>
  <c r="O51" i="11"/>
  <c r="O55" i="11"/>
  <c r="O60" i="11"/>
  <c r="O64" i="11"/>
  <c r="H107" i="11"/>
  <c r="I107" i="11" s="1"/>
  <c r="C39" i="9"/>
  <c r="C35" i="9"/>
  <c r="C31" i="9"/>
  <c r="C29" i="9"/>
  <c r="C11" i="9"/>
  <c r="E5" i="11" l="1"/>
  <c r="K5" i="11"/>
  <c r="I65" i="11"/>
  <c r="D5" i="11"/>
  <c r="C5" i="11"/>
  <c r="J2" i="10"/>
  <c r="C42" i="9"/>
  <c r="C49" i="9" s="1"/>
  <c r="O107" i="11"/>
  <c r="I6" i="11"/>
  <c r="N6" i="11"/>
  <c r="H6" i="11"/>
  <c r="O45" i="11"/>
  <c r="N5" i="11" l="1"/>
  <c r="H5" i="11"/>
  <c r="O6" i="11"/>
  <c r="O5" i="11" s="1"/>
  <c r="D72" i="8"/>
  <c r="D65" i="8"/>
  <c r="D50" i="8" l="1"/>
  <c r="I50" i="8"/>
  <c r="D38" i="8"/>
  <c r="D46" i="8"/>
  <c r="I46" i="8"/>
  <c r="D37" i="8" l="1"/>
  <c r="D57" i="8" s="1"/>
  <c r="AK261" i="6" l="1"/>
  <c r="AK217" i="6"/>
  <c r="AK111" i="6"/>
  <c r="AK178" i="6"/>
  <c r="AK149" i="6"/>
  <c r="AK118" i="6"/>
  <c r="AK36" i="6"/>
  <c r="AI295" i="7"/>
  <c r="M19" i="5" s="1"/>
  <c r="M16" i="5" s="1"/>
  <c r="AI192" i="7"/>
  <c r="AK181" i="7" l="1"/>
  <c r="AK23" i="7" l="1"/>
  <c r="O7" i="5" s="1"/>
  <c r="AL317" i="7" l="1"/>
  <c r="AM317" i="7" s="1"/>
  <c r="AM313" i="7"/>
  <c r="AL313" i="7"/>
  <c r="AM312" i="7"/>
  <c r="AL312" i="7"/>
  <c r="AK311" i="7"/>
  <c r="AJ311" i="7"/>
  <c r="AI311" i="7"/>
  <c r="AM310" i="7"/>
  <c r="AL310" i="7"/>
  <c r="AM309" i="7"/>
  <c r="AL309" i="7"/>
  <c r="AM308" i="7"/>
  <c r="AL308" i="7"/>
  <c r="AM307" i="7"/>
  <c r="AL307" i="7"/>
  <c r="AM306" i="7"/>
  <c r="AL306" i="7"/>
  <c r="AM305" i="7"/>
  <c r="AL305" i="7"/>
  <c r="AM304" i="7"/>
  <c r="AL304" i="7"/>
  <c r="AM301" i="7"/>
  <c r="AL301" i="7"/>
  <c r="AM300" i="7"/>
  <c r="AL300" i="7"/>
  <c r="AM299" i="7"/>
  <c r="AL299" i="7"/>
  <c r="AM298" i="7"/>
  <c r="AL298" i="7"/>
  <c r="AM296" i="7"/>
  <c r="AL296" i="7"/>
  <c r="AM295" i="7"/>
  <c r="AM294" i="7"/>
  <c r="AL294" i="7"/>
  <c r="AM293" i="7"/>
  <c r="AL293" i="7"/>
  <c r="AM291" i="7"/>
  <c r="AL291" i="7"/>
  <c r="AM290" i="7"/>
  <c r="AL290" i="7"/>
  <c r="AM289" i="7"/>
  <c r="AL289" i="7"/>
  <c r="AM288" i="7"/>
  <c r="AL288" i="7"/>
  <c r="AM287" i="7"/>
  <c r="AL287" i="7"/>
  <c r="AM286" i="7"/>
  <c r="AL286" i="7"/>
  <c r="AM284" i="7"/>
  <c r="AL284" i="7"/>
  <c r="AM283" i="7"/>
  <c r="AL283" i="7"/>
  <c r="AM282" i="7"/>
  <c r="AL282" i="7"/>
  <c r="AM281" i="7"/>
  <c r="AL281" i="7"/>
  <c r="AM278" i="7"/>
  <c r="AL278" i="7"/>
  <c r="AM277" i="7"/>
  <c r="AL277" i="7"/>
  <c r="AM276" i="7"/>
  <c r="AL276" i="7"/>
  <c r="AM275" i="7"/>
  <c r="AL275" i="7"/>
  <c r="AM274" i="7"/>
  <c r="AL274" i="7"/>
  <c r="AM271" i="7"/>
  <c r="AL271" i="7"/>
  <c r="AM270" i="7"/>
  <c r="AL270" i="7"/>
  <c r="AM269" i="7"/>
  <c r="AL269" i="7"/>
  <c r="AM268" i="7"/>
  <c r="AL268" i="7"/>
  <c r="AM267" i="7"/>
  <c r="AL267" i="7"/>
  <c r="AM266" i="7"/>
  <c r="AL266" i="7"/>
  <c r="AM265" i="7"/>
  <c r="AL265" i="7"/>
  <c r="AM264" i="7"/>
  <c r="AL264" i="7"/>
  <c r="AM263" i="7"/>
  <c r="AL263" i="7"/>
  <c r="AM262" i="7"/>
  <c r="AL262" i="7"/>
  <c r="AK261" i="7"/>
  <c r="AJ261" i="7"/>
  <c r="AI261" i="7"/>
  <c r="AM260" i="7"/>
  <c r="AL260" i="7"/>
  <c r="AM259" i="7"/>
  <c r="AL259" i="7"/>
  <c r="AM258" i="7"/>
  <c r="AL258" i="7"/>
  <c r="AM257" i="7"/>
  <c r="AL257" i="7"/>
  <c r="AM256" i="7"/>
  <c r="AL256" i="7"/>
  <c r="AM255" i="7"/>
  <c r="AL255" i="7"/>
  <c r="AM254" i="7"/>
  <c r="AL254" i="7"/>
  <c r="AM253" i="7"/>
  <c r="AL253" i="7"/>
  <c r="AM252" i="7"/>
  <c r="AL252" i="7"/>
  <c r="AM251" i="7"/>
  <c r="AL251" i="7"/>
  <c r="AM250" i="7"/>
  <c r="AL250" i="7"/>
  <c r="AM249" i="7"/>
  <c r="AL249" i="7"/>
  <c r="AM248" i="7"/>
  <c r="AL248" i="7"/>
  <c r="AK247" i="7"/>
  <c r="AJ247" i="7"/>
  <c r="AI247" i="7"/>
  <c r="AM246" i="7"/>
  <c r="AL246" i="7"/>
  <c r="AM245" i="7"/>
  <c r="AL245" i="7"/>
  <c r="AM244" i="7"/>
  <c r="AL244" i="7"/>
  <c r="AM243" i="7"/>
  <c r="AL243" i="7"/>
  <c r="AM242" i="7"/>
  <c r="AL242" i="7"/>
  <c r="AM241" i="7"/>
  <c r="AL241" i="7"/>
  <c r="AM240" i="7"/>
  <c r="AL240" i="7"/>
  <c r="AM239" i="7"/>
  <c r="AL239" i="7"/>
  <c r="AM238" i="7"/>
  <c r="AL238" i="7"/>
  <c r="AM237" i="7"/>
  <c r="AL237" i="7"/>
  <c r="AM236" i="7"/>
  <c r="AL236" i="7"/>
  <c r="AM235" i="7"/>
  <c r="AL235" i="7"/>
  <c r="AK234" i="7"/>
  <c r="AJ234" i="7"/>
  <c r="AI234" i="7"/>
  <c r="AM233" i="7"/>
  <c r="AL233" i="7"/>
  <c r="AM232" i="7"/>
  <c r="AL232" i="7"/>
  <c r="AM231" i="7"/>
  <c r="AL231" i="7"/>
  <c r="AM230" i="7"/>
  <c r="AL230" i="7"/>
  <c r="AM229" i="7"/>
  <c r="AL229" i="7"/>
  <c r="AM228" i="7"/>
  <c r="AL228" i="7"/>
  <c r="AM227" i="7"/>
  <c r="AL227" i="7"/>
  <c r="AM226" i="7"/>
  <c r="AL226" i="7"/>
  <c r="AM225" i="7"/>
  <c r="AL225" i="7"/>
  <c r="AM224" i="7"/>
  <c r="AL224" i="7"/>
  <c r="AK223" i="7"/>
  <c r="AJ223" i="7"/>
  <c r="AI223" i="7"/>
  <c r="AM222" i="7"/>
  <c r="AL222" i="7"/>
  <c r="AM221" i="7"/>
  <c r="AL221" i="7"/>
  <c r="AM220" i="7"/>
  <c r="AL220" i="7"/>
  <c r="AM219" i="7"/>
  <c r="AL219" i="7"/>
  <c r="AM218" i="7"/>
  <c r="AL218" i="7"/>
  <c r="AM217" i="7"/>
  <c r="AL217" i="7"/>
  <c r="AM216" i="7"/>
  <c r="AL216" i="7"/>
  <c r="AM215" i="7"/>
  <c r="AL215" i="7"/>
  <c r="AM214" i="7"/>
  <c r="AL214" i="7"/>
  <c r="AM213" i="7"/>
  <c r="AL213" i="7"/>
  <c r="AK212" i="7"/>
  <c r="AJ212" i="7"/>
  <c r="AI212" i="7"/>
  <c r="AM211" i="7"/>
  <c r="AL211" i="7"/>
  <c r="AI210" i="7"/>
  <c r="M13" i="5" s="1"/>
  <c r="AK205" i="7"/>
  <c r="O12" i="5" s="1"/>
  <c r="AM199" i="7"/>
  <c r="AL199" i="7"/>
  <c r="AM194" i="7"/>
  <c r="AM193" i="7"/>
  <c r="AM191" i="7"/>
  <c r="AL191" i="7"/>
  <c r="AM190" i="7"/>
  <c r="AL190" i="7"/>
  <c r="AM189" i="7"/>
  <c r="AL189" i="7"/>
  <c r="AM188" i="7"/>
  <c r="AL188" i="7"/>
  <c r="AM187" i="7"/>
  <c r="AL187" i="7"/>
  <c r="AM186" i="7"/>
  <c r="AL186" i="7"/>
  <c r="AM185" i="7"/>
  <c r="AL185" i="7"/>
  <c r="AM184" i="7"/>
  <c r="AL184" i="7"/>
  <c r="AM183" i="7"/>
  <c r="AL183" i="7"/>
  <c r="AM182" i="7"/>
  <c r="AL182" i="7"/>
  <c r="AM180" i="7"/>
  <c r="AL180" i="7"/>
  <c r="AM179" i="7"/>
  <c r="AL179" i="7"/>
  <c r="AM178" i="7"/>
  <c r="AL178" i="7"/>
  <c r="AM177" i="7"/>
  <c r="AL177" i="7"/>
  <c r="AM176" i="7"/>
  <c r="AL176" i="7"/>
  <c r="AM175" i="7"/>
  <c r="AL175" i="7"/>
  <c r="AM174" i="7"/>
  <c r="AL174" i="7"/>
  <c r="AM173" i="7"/>
  <c r="AL173" i="7"/>
  <c r="AM172" i="7"/>
  <c r="AL172" i="7"/>
  <c r="AM171" i="7"/>
  <c r="AL171" i="7"/>
  <c r="AM170" i="7"/>
  <c r="AL170" i="7"/>
  <c r="AM169" i="7"/>
  <c r="AL169" i="7"/>
  <c r="AM168" i="7"/>
  <c r="AL168" i="7"/>
  <c r="AM167" i="7"/>
  <c r="AL167" i="7"/>
  <c r="AM165" i="7"/>
  <c r="AL165" i="7"/>
  <c r="AM163" i="7"/>
  <c r="AL163" i="7"/>
  <c r="AM162" i="7"/>
  <c r="AL162" i="7"/>
  <c r="AM161" i="7"/>
  <c r="AL161" i="7"/>
  <c r="AM160" i="7"/>
  <c r="AL160" i="7"/>
  <c r="AM159" i="7"/>
  <c r="AL159" i="7"/>
  <c r="AM158" i="7"/>
  <c r="AL158" i="7"/>
  <c r="AM157" i="7"/>
  <c r="AL157" i="7"/>
  <c r="AM156" i="7"/>
  <c r="AL156" i="7"/>
  <c r="AM155" i="7"/>
  <c r="AL155" i="7"/>
  <c r="AM154" i="7"/>
  <c r="AL154" i="7"/>
  <c r="AM152" i="7"/>
  <c r="AL152" i="7"/>
  <c r="AM151" i="7"/>
  <c r="AL151" i="7"/>
  <c r="AM150" i="7"/>
  <c r="AL150" i="7"/>
  <c r="AM149" i="7"/>
  <c r="AL149" i="7"/>
  <c r="AM148" i="7"/>
  <c r="AL148" i="7"/>
  <c r="AM147" i="7"/>
  <c r="AL147" i="7"/>
  <c r="AM146" i="7"/>
  <c r="AL146" i="7"/>
  <c r="AM145" i="7"/>
  <c r="AL145" i="7"/>
  <c r="AM144" i="7"/>
  <c r="AL144" i="7"/>
  <c r="AM143" i="7"/>
  <c r="AL143" i="7"/>
  <c r="AM141" i="7"/>
  <c r="AL141" i="7"/>
  <c r="AM140" i="7"/>
  <c r="AL140" i="7"/>
  <c r="AM139" i="7"/>
  <c r="AL139" i="7"/>
  <c r="AM138" i="7"/>
  <c r="AL138" i="7"/>
  <c r="AM137" i="7"/>
  <c r="AL137" i="7"/>
  <c r="AM136" i="7"/>
  <c r="AL136" i="7"/>
  <c r="AM135" i="7"/>
  <c r="AL135" i="7"/>
  <c r="AM134" i="7"/>
  <c r="AL134" i="7"/>
  <c r="AM133" i="7"/>
  <c r="AL133" i="7"/>
  <c r="AM132" i="7"/>
  <c r="AL132" i="7"/>
  <c r="AM130" i="7"/>
  <c r="AL130" i="7"/>
  <c r="AM128" i="7"/>
  <c r="AL128" i="7"/>
  <c r="AM127" i="7"/>
  <c r="AL127" i="7"/>
  <c r="AM126" i="7"/>
  <c r="AL126" i="7"/>
  <c r="AM125" i="7"/>
  <c r="AL125" i="7"/>
  <c r="AM124" i="7"/>
  <c r="AL124" i="7"/>
  <c r="AK123" i="7"/>
  <c r="O9" i="5" s="1"/>
  <c r="AJ123" i="7"/>
  <c r="N9" i="5" s="1"/>
  <c r="AI123" i="7"/>
  <c r="M9" i="5" s="1"/>
  <c r="AM122" i="7"/>
  <c r="AL122" i="7"/>
  <c r="AM121" i="7"/>
  <c r="AL121" i="7"/>
  <c r="AM120" i="7"/>
  <c r="AL120" i="7"/>
  <c r="AM119" i="7"/>
  <c r="AL119" i="7"/>
  <c r="AM118" i="7"/>
  <c r="AL118" i="7"/>
  <c r="AM117" i="7"/>
  <c r="AL117" i="7"/>
  <c r="AM116" i="7"/>
  <c r="AL116" i="7"/>
  <c r="AM115" i="7"/>
  <c r="AL115" i="7"/>
  <c r="AM114" i="7"/>
  <c r="AL114" i="7"/>
  <c r="AM113" i="7"/>
  <c r="AL113" i="7"/>
  <c r="AM112" i="7"/>
  <c r="AL112" i="7"/>
  <c r="AM111" i="7"/>
  <c r="AL111" i="7"/>
  <c r="AM110" i="7"/>
  <c r="AL110" i="7"/>
  <c r="AM109" i="7"/>
  <c r="AL109" i="7"/>
  <c r="AM108" i="7"/>
  <c r="AL108" i="7"/>
  <c r="AM107" i="7"/>
  <c r="AL107" i="7"/>
  <c r="AM106" i="7"/>
  <c r="AL106" i="7"/>
  <c r="AM105" i="7"/>
  <c r="AL105" i="7"/>
  <c r="AM104" i="7"/>
  <c r="AL104" i="7"/>
  <c r="AM102" i="7"/>
  <c r="AL102" i="7"/>
  <c r="AM101" i="7"/>
  <c r="AL101" i="7"/>
  <c r="AM99" i="7"/>
  <c r="AL99" i="7"/>
  <c r="AM98" i="7"/>
  <c r="AL98" i="7"/>
  <c r="AM97" i="7"/>
  <c r="AL97" i="7"/>
  <c r="AM96" i="7"/>
  <c r="AL96" i="7"/>
  <c r="AM95" i="7"/>
  <c r="AL95" i="7"/>
  <c r="AM94" i="7"/>
  <c r="AL94" i="7"/>
  <c r="AM92" i="7"/>
  <c r="AL92" i="7"/>
  <c r="AM91" i="7"/>
  <c r="AL91" i="7"/>
  <c r="AM90" i="7"/>
  <c r="AL90" i="7"/>
  <c r="AM89" i="7"/>
  <c r="AL89" i="7"/>
  <c r="AM88" i="7"/>
  <c r="AL88" i="7"/>
  <c r="AM87" i="7"/>
  <c r="AL87" i="7"/>
  <c r="AM86" i="7"/>
  <c r="AL86" i="7"/>
  <c r="AM85" i="7"/>
  <c r="AL85" i="7"/>
  <c r="AM83" i="7"/>
  <c r="AL83" i="7"/>
  <c r="AM82" i="7"/>
  <c r="AL82" i="7"/>
  <c r="AM81" i="7"/>
  <c r="AL81" i="7"/>
  <c r="AM80" i="7"/>
  <c r="AL80" i="7"/>
  <c r="AM79" i="7"/>
  <c r="AL79" i="7"/>
  <c r="AM78" i="7"/>
  <c r="AL78" i="7"/>
  <c r="AM77" i="7"/>
  <c r="AL77" i="7"/>
  <c r="AM76" i="7"/>
  <c r="AL76" i="7"/>
  <c r="AM75" i="7"/>
  <c r="AL75" i="7"/>
  <c r="AM74" i="7"/>
  <c r="AL74" i="7"/>
  <c r="AM72" i="7"/>
  <c r="AL72" i="7"/>
  <c r="AM71" i="7"/>
  <c r="AL71" i="7"/>
  <c r="AM70" i="7"/>
  <c r="AL70" i="7"/>
  <c r="AM69" i="7"/>
  <c r="AL69" i="7"/>
  <c r="AM68" i="7"/>
  <c r="AL68" i="7"/>
  <c r="AM67" i="7"/>
  <c r="AL67" i="7"/>
  <c r="AM66" i="7"/>
  <c r="AL66" i="7"/>
  <c r="AM65" i="7"/>
  <c r="AL65" i="7"/>
  <c r="AM64" i="7"/>
  <c r="AL64" i="7"/>
  <c r="AM63" i="7"/>
  <c r="AL63" i="7"/>
  <c r="AM62" i="7"/>
  <c r="AL62" i="7"/>
  <c r="AM60" i="7"/>
  <c r="AL60" i="7"/>
  <c r="AM57" i="7"/>
  <c r="AL57" i="7"/>
  <c r="AM56" i="7"/>
  <c r="AL56" i="7"/>
  <c r="AM55" i="7"/>
  <c r="AL55" i="7"/>
  <c r="AM54" i="7"/>
  <c r="AL54" i="7"/>
  <c r="AM53" i="7"/>
  <c r="AM52" i="7"/>
  <c r="AL52" i="7"/>
  <c r="AM51" i="7"/>
  <c r="AL51" i="7"/>
  <c r="AL50" i="7"/>
  <c r="AJ49" i="7"/>
  <c r="AI49" i="7"/>
  <c r="AM48" i="7"/>
  <c r="AL48" i="7"/>
  <c r="AM47" i="7"/>
  <c r="AL47" i="7"/>
  <c r="AJ46" i="7"/>
  <c r="AM45" i="7"/>
  <c r="AL45" i="7"/>
  <c r="AM44" i="7"/>
  <c r="AL44" i="7"/>
  <c r="AM43" i="7"/>
  <c r="AL43" i="7"/>
  <c r="AM42" i="7"/>
  <c r="AL42" i="7"/>
  <c r="AM41" i="7"/>
  <c r="AL41" i="7"/>
  <c r="AM40" i="7"/>
  <c r="AL40" i="7"/>
  <c r="AM39" i="7"/>
  <c r="AL39" i="7"/>
  <c r="AM38" i="7"/>
  <c r="AL38" i="7"/>
  <c r="AM37" i="7"/>
  <c r="AI36" i="7"/>
  <c r="AM35" i="7"/>
  <c r="AL35" i="7"/>
  <c r="AK33" i="7"/>
  <c r="AJ33" i="7"/>
  <c r="AI33" i="7"/>
  <c r="AM32" i="7"/>
  <c r="AL32" i="7"/>
  <c r="AL31" i="7"/>
  <c r="AM31" i="7"/>
  <c r="AM29" i="7"/>
  <c r="AL29" i="7"/>
  <c r="AM28" i="7"/>
  <c r="AL28" i="7"/>
  <c r="AM27" i="7"/>
  <c r="AL27" i="7"/>
  <c r="AM26" i="7"/>
  <c r="AL26" i="7"/>
  <c r="AM25" i="7"/>
  <c r="AM24" i="7"/>
  <c r="AK21" i="7"/>
  <c r="AM20" i="7"/>
  <c r="AL20" i="7"/>
  <c r="AM19" i="7"/>
  <c r="AL19" i="7"/>
  <c r="AM18" i="7"/>
  <c r="AL18" i="7"/>
  <c r="AJ17" i="7"/>
  <c r="AM16" i="7"/>
  <c r="AL16" i="7"/>
  <c r="AM15" i="7"/>
  <c r="AL15" i="7"/>
  <c r="AM14" i="7"/>
  <c r="AL14" i="7"/>
  <c r="AM13" i="7"/>
  <c r="AL13" i="7"/>
  <c r="AM12" i="7"/>
  <c r="AL12" i="7"/>
  <c r="AM11" i="7"/>
  <c r="AL11" i="7"/>
  <c r="AM10" i="7"/>
  <c r="AL10" i="7"/>
  <c r="AM9" i="7"/>
  <c r="AL9" i="7"/>
  <c r="AM8" i="7"/>
  <c r="AL8" i="7"/>
  <c r="AL7" i="7"/>
  <c r="AM6" i="7"/>
  <c r="AL6" i="7"/>
  <c r="AM5" i="7"/>
  <c r="AL5" i="7"/>
  <c r="AM3" i="7"/>
  <c r="AL3" i="7"/>
  <c r="AM316" i="6"/>
  <c r="AL316" i="6"/>
  <c r="AM315" i="6"/>
  <c r="AL315" i="6"/>
  <c r="AM313" i="6"/>
  <c r="AL313" i="6"/>
  <c r="AM312" i="6"/>
  <c r="AL312" i="6"/>
  <c r="AM311" i="6"/>
  <c r="AL311" i="6"/>
  <c r="AM310" i="6"/>
  <c r="AL310" i="6"/>
  <c r="AM309" i="6"/>
  <c r="AL309" i="6"/>
  <c r="AJ307" i="6"/>
  <c r="AI307" i="6"/>
  <c r="AM306" i="6"/>
  <c r="AL306" i="6"/>
  <c r="AM305" i="6"/>
  <c r="AL305" i="6"/>
  <c r="AM304" i="6"/>
  <c r="AL304" i="6"/>
  <c r="AM302" i="6"/>
  <c r="AL302" i="6"/>
  <c r="AM300" i="6"/>
  <c r="AL300" i="6"/>
  <c r="AM299" i="6"/>
  <c r="AL299" i="6"/>
  <c r="AM297" i="6"/>
  <c r="AL297" i="6"/>
  <c r="AM296" i="6"/>
  <c r="AK295" i="6"/>
  <c r="AJ295" i="6"/>
  <c r="AI295" i="6"/>
  <c r="AM294" i="6"/>
  <c r="AL294" i="6"/>
  <c r="AM293" i="6"/>
  <c r="AL293" i="6"/>
  <c r="AM292" i="6"/>
  <c r="AL292" i="6"/>
  <c r="AM291" i="6"/>
  <c r="AL291" i="6"/>
  <c r="AM290" i="6"/>
  <c r="AL290" i="6"/>
  <c r="AM287" i="6"/>
  <c r="AL287" i="6"/>
  <c r="AM286" i="6"/>
  <c r="AL286" i="6"/>
  <c r="AM285" i="6"/>
  <c r="AL285" i="6"/>
  <c r="AM282" i="6"/>
  <c r="AL282" i="6"/>
  <c r="AM281" i="6"/>
  <c r="AL281" i="6"/>
  <c r="AM280" i="6"/>
  <c r="AL280" i="6"/>
  <c r="AM279" i="6"/>
  <c r="AL279" i="6"/>
  <c r="AM278" i="6"/>
  <c r="AL278" i="6"/>
  <c r="AM277" i="6"/>
  <c r="AL277" i="6"/>
  <c r="AM276" i="6"/>
  <c r="AL276" i="6"/>
  <c r="AM275" i="6"/>
  <c r="AL275" i="6"/>
  <c r="AM274" i="6"/>
  <c r="AL274" i="6"/>
  <c r="AM273" i="6"/>
  <c r="AL273" i="6"/>
  <c r="AM272" i="6"/>
  <c r="AL272" i="6"/>
  <c r="AM270" i="6"/>
  <c r="AL270" i="6"/>
  <c r="AM269" i="6"/>
  <c r="AL269" i="6"/>
  <c r="AM268" i="6"/>
  <c r="AL268" i="6"/>
  <c r="AM267" i="6"/>
  <c r="AL267" i="6"/>
  <c r="AM266" i="6"/>
  <c r="AL266" i="6"/>
  <c r="AM265" i="6"/>
  <c r="AL265" i="6"/>
  <c r="AM264" i="6"/>
  <c r="AL264" i="6"/>
  <c r="AM263" i="6"/>
  <c r="AL263" i="6"/>
  <c r="AM262" i="6"/>
  <c r="AL262" i="6"/>
  <c r="AM260" i="6"/>
  <c r="AL260" i="6"/>
  <c r="AM259" i="6"/>
  <c r="AL259" i="6"/>
  <c r="AM258" i="6"/>
  <c r="AL258" i="6"/>
  <c r="AI257" i="6"/>
  <c r="E9" i="5" s="1"/>
  <c r="AM256" i="6"/>
  <c r="AL256" i="6"/>
  <c r="AM255" i="6"/>
  <c r="AL255" i="6"/>
  <c r="AM254" i="6"/>
  <c r="AL254" i="6"/>
  <c r="AM253" i="6"/>
  <c r="AL253" i="6"/>
  <c r="AM252" i="6"/>
  <c r="AL252" i="6"/>
  <c r="AM251" i="6"/>
  <c r="AL251" i="6"/>
  <c r="AM250" i="6"/>
  <c r="AL250" i="6"/>
  <c r="AM249" i="6"/>
  <c r="AL249" i="6"/>
  <c r="AM248" i="6"/>
  <c r="AL248" i="6"/>
  <c r="AM247" i="6"/>
  <c r="AL247" i="6"/>
  <c r="AM246" i="6"/>
  <c r="AL246" i="6"/>
  <c r="AM244" i="6"/>
  <c r="AL244" i="6"/>
  <c r="AM243" i="6"/>
  <c r="AL243" i="6"/>
  <c r="AM242" i="6"/>
  <c r="AL242" i="6"/>
  <c r="AM241" i="6"/>
  <c r="AL241" i="6"/>
  <c r="AM240" i="6"/>
  <c r="AL240" i="6"/>
  <c r="AM239" i="6"/>
  <c r="AL239" i="6"/>
  <c r="AM238" i="6"/>
  <c r="AL238" i="6"/>
  <c r="AM237" i="6"/>
  <c r="AL237" i="6"/>
  <c r="AM236" i="6"/>
  <c r="AL236" i="6"/>
  <c r="AM234" i="6"/>
  <c r="AL234" i="6"/>
  <c r="AM233" i="6"/>
  <c r="AL233" i="6"/>
  <c r="AM232" i="6"/>
  <c r="AL232" i="6"/>
  <c r="AK231" i="6"/>
  <c r="G13" i="5" s="1"/>
  <c r="AJ231" i="6"/>
  <c r="F13" i="5" s="1"/>
  <c r="AI231" i="6"/>
  <c r="E13" i="5" s="1"/>
  <c r="AM230" i="6"/>
  <c r="AL230" i="6"/>
  <c r="AM229" i="6"/>
  <c r="AL229" i="6"/>
  <c r="AM228" i="6"/>
  <c r="AL228" i="6"/>
  <c r="AM227" i="6"/>
  <c r="AL227" i="6"/>
  <c r="AM226" i="6"/>
  <c r="AL226" i="6"/>
  <c r="AM225" i="6"/>
  <c r="AL225" i="6"/>
  <c r="AM224" i="6"/>
  <c r="AL224" i="6"/>
  <c r="AM223" i="6"/>
  <c r="AL223" i="6"/>
  <c r="AM221" i="6"/>
  <c r="AL221" i="6"/>
  <c r="AM220" i="6"/>
  <c r="AL220" i="6"/>
  <c r="AM218" i="6"/>
  <c r="AL218" i="6"/>
  <c r="AM216" i="6"/>
  <c r="AL216" i="6"/>
  <c r="AM215" i="6"/>
  <c r="AL215" i="6"/>
  <c r="AM214" i="6"/>
  <c r="AL214" i="6"/>
  <c r="AM213" i="6"/>
  <c r="AL213" i="6"/>
  <c r="AM212" i="6"/>
  <c r="AL212" i="6"/>
  <c r="AM210" i="6"/>
  <c r="AL210" i="6"/>
  <c r="AM208" i="6"/>
  <c r="AL208" i="6"/>
  <c r="AM207" i="6"/>
  <c r="AL207" i="6"/>
  <c r="AM205" i="6"/>
  <c r="AL205" i="6"/>
  <c r="AM204" i="6"/>
  <c r="AL204" i="6"/>
  <c r="AJ203" i="6"/>
  <c r="AI203" i="6"/>
  <c r="AM202" i="6"/>
  <c r="AL202" i="6"/>
  <c r="AM201" i="6"/>
  <c r="AM200" i="6"/>
  <c r="AL200" i="6"/>
  <c r="AM199" i="6"/>
  <c r="AL199" i="6"/>
  <c r="AM198" i="6"/>
  <c r="AL198" i="6"/>
  <c r="AM197" i="6"/>
  <c r="AL197" i="6"/>
  <c r="AM196" i="6"/>
  <c r="AL196" i="6"/>
  <c r="AM195" i="6"/>
  <c r="AL195" i="6"/>
  <c r="AM194" i="6"/>
  <c r="AL194" i="6"/>
  <c r="AK193" i="6"/>
  <c r="AJ193" i="6"/>
  <c r="AM192" i="6"/>
  <c r="AL192" i="6"/>
  <c r="AM191" i="6"/>
  <c r="AL191" i="6"/>
  <c r="AM190" i="6"/>
  <c r="AL190" i="6"/>
  <c r="AM189" i="6"/>
  <c r="AL189" i="6"/>
  <c r="AM187" i="6"/>
  <c r="AL187" i="6"/>
  <c r="AM185" i="6"/>
  <c r="AL185" i="6"/>
  <c r="AM184" i="6"/>
  <c r="AL184" i="6"/>
  <c r="AM183" i="6"/>
  <c r="AL183" i="6"/>
  <c r="AM182" i="6"/>
  <c r="AL182" i="6"/>
  <c r="AM181" i="6"/>
  <c r="AL181" i="6"/>
  <c r="AM180" i="6"/>
  <c r="AL180" i="6"/>
  <c r="AM179" i="6"/>
  <c r="AL179" i="6"/>
  <c r="AM178" i="6"/>
  <c r="AL178" i="6"/>
  <c r="AM177" i="6"/>
  <c r="AL177" i="6"/>
  <c r="AM176" i="6"/>
  <c r="AL176" i="6"/>
  <c r="AM175" i="6"/>
  <c r="AL175" i="6"/>
  <c r="AM174" i="6"/>
  <c r="AL174" i="6"/>
  <c r="AM173" i="6"/>
  <c r="AL173" i="6"/>
  <c r="AM172" i="6"/>
  <c r="AL172" i="6"/>
  <c r="AM171" i="6"/>
  <c r="AL171" i="6"/>
  <c r="AM170" i="6"/>
  <c r="AL170" i="6"/>
  <c r="AM169" i="6"/>
  <c r="AL169" i="6"/>
  <c r="AM168" i="6"/>
  <c r="AL168" i="6"/>
  <c r="AM165" i="6"/>
  <c r="AL165" i="6"/>
  <c r="AM164" i="6"/>
  <c r="AL164" i="6"/>
  <c r="AM163" i="6"/>
  <c r="AL163" i="6"/>
  <c r="AM162" i="6"/>
  <c r="AL162" i="6"/>
  <c r="AM161" i="6"/>
  <c r="AL161" i="6"/>
  <c r="AM160" i="6"/>
  <c r="AL160" i="6"/>
  <c r="AM159" i="6"/>
  <c r="AL159" i="6"/>
  <c r="AM158" i="6"/>
  <c r="AL158" i="6"/>
  <c r="AM157" i="6"/>
  <c r="AL157" i="6"/>
  <c r="AM156" i="6"/>
  <c r="AM155" i="6"/>
  <c r="AL155" i="6"/>
  <c r="AM154" i="6"/>
  <c r="AL154" i="6"/>
  <c r="AM153" i="6"/>
  <c r="AL153" i="6"/>
  <c r="AM152" i="6"/>
  <c r="AL152" i="6"/>
  <c r="AM151" i="6"/>
  <c r="AL151" i="6"/>
  <c r="AM150" i="6"/>
  <c r="AL150" i="6"/>
  <c r="AM148" i="6"/>
  <c r="AL148" i="6"/>
  <c r="AM147" i="6"/>
  <c r="AL147" i="6"/>
  <c r="AM146" i="6"/>
  <c r="AL146" i="6"/>
  <c r="AM145" i="6"/>
  <c r="AL145" i="6"/>
  <c r="AM143" i="6"/>
  <c r="AL143" i="6"/>
  <c r="AM142" i="6"/>
  <c r="AL142" i="6"/>
  <c r="AM141" i="6"/>
  <c r="AL141" i="6"/>
  <c r="AM140" i="6"/>
  <c r="AL140" i="6"/>
  <c r="AM138" i="6"/>
  <c r="AL138" i="6"/>
  <c r="AM137" i="6"/>
  <c r="AL137" i="6"/>
  <c r="AM136" i="6"/>
  <c r="AL136" i="6"/>
  <c r="AM135" i="6"/>
  <c r="AL135" i="6"/>
  <c r="AM134" i="6"/>
  <c r="AL134" i="6"/>
  <c r="AM133" i="6"/>
  <c r="AL133" i="6"/>
  <c r="AM132" i="6"/>
  <c r="AL132" i="6"/>
  <c r="AM131" i="6"/>
  <c r="AL131" i="6"/>
  <c r="AM130" i="6"/>
  <c r="AL130" i="6"/>
  <c r="AM129" i="6"/>
  <c r="AL129" i="6"/>
  <c r="AM128" i="6"/>
  <c r="AL128" i="6"/>
  <c r="AM127" i="6"/>
  <c r="AL127" i="6"/>
  <c r="AM126" i="6"/>
  <c r="AL126" i="6"/>
  <c r="AM125" i="6"/>
  <c r="AL125" i="6"/>
  <c r="AM124" i="6"/>
  <c r="AL124" i="6"/>
  <c r="AM123" i="6"/>
  <c r="AL123" i="6"/>
  <c r="AM122" i="6"/>
  <c r="AL122" i="6"/>
  <c r="AM121" i="6"/>
  <c r="AL121" i="6"/>
  <c r="AM120" i="6"/>
  <c r="AL120" i="6"/>
  <c r="AM119" i="6"/>
  <c r="AL119" i="6"/>
  <c r="AM117" i="6"/>
  <c r="AL117" i="6"/>
  <c r="AM116" i="6"/>
  <c r="AL116" i="6"/>
  <c r="AM115" i="6"/>
  <c r="AL115" i="6"/>
  <c r="AM114" i="6"/>
  <c r="AM113" i="6"/>
  <c r="AL113" i="6"/>
  <c r="AM112" i="6"/>
  <c r="AL112" i="6"/>
  <c r="AM110" i="6"/>
  <c r="AL110" i="6"/>
  <c r="AM109" i="6"/>
  <c r="AL109" i="6"/>
  <c r="AM108" i="6"/>
  <c r="AL108" i="6"/>
  <c r="AM107" i="6"/>
  <c r="AL107" i="6"/>
  <c r="AM105" i="6"/>
  <c r="AL105" i="6"/>
  <c r="AM104" i="6"/>
  <c r="AL104" i="6"/>
  <c r="AM103" i="6"/>
  <c r="AL103" i="6"/>
  <c r="AM102" i="6"/>
  <c r="AL102" i="6"/>
  <c r="AM101" i="6"/>
  <c r="AL101" i="6"/>
  <c r="AM100" i="6"/>
  <c r="AL100" i="6"/>
  <c r="AM99" i="6"/>
  <c r="AL99" i="6"/>
  <c r="AM98" i="6"/>
  <c r="AL98" i="6"/>
  <c r="AM97" i="6"/>
  <c r="AL97" i="6"/>
  <c r="AM94" i="6"/>
  <c r="AL94" i="6"/>
  <c r="AM93" i="6"/>
  <c r="AL93" i="6"/>
  <c r="AM92" i="6"/>
  <c r="AL92" i="6"/>
  <c r="AM91" i="6"/>
  <c r="AL91" i="6"/>
  <c r="AM90" i="6"/>
  <c r="AL90" i="6"/>
  <c r="AM89" i="6"/>
  <c r="AL89" i="6"/>
  <c r="AM88" i="6"/>
  <c r="AL88" i="6"/>
  <c r="AM86" i="6"/>
  <c r="AL86" i="6"/>
  <c r="AM85" i="6"/>
  <c r="AL85" i="6"/>
  <c r="AM82" i="6"/>
  <c r="AL82" i="6"/>
  <c r="AM81" i="6"/>
  <c r="AL81" i="6"/>
  <c r="AM80" i="6"/>
  <c r="AL80" i="6"/>
  <c r="AM79" i="6"/>
  <c r="AL79" i="6"/>
  <c r="AM78" i="6"/>
  <c r="AL78" i="6"/>
  <c r="AM77" i="6"/>
  <c r="AL77" i="6"/>
  <c r="AM76" i="6"/>
  <c r="AL76" i="6"/>
  <c r="AM75" i="6"/>
  <c r="AL75" i="6"/>
  <c r="AM74" i="6"/>
  <c r="AL74" i="6"/>
  <c r="AM73" i="6"/>
  <c r="AL73" i="6"/>
  <c r="AM71" i="6"/>
  <c r="AL71" i="6"/>
  <c r="AM70" i="6"/>
  <c r="AL70" i="6"/>
  <c r="AM69" i="6"/>
  <c r="AL69" i="6"/>
  <c r="AM68" i="6"/>
  <c r="AL68" i="6"/>
  <c r="AM67" i="6"/>
  <c r="AL67" i="6"/>
  <c r="AM66" i="6"/>
  <c r="AL66" i="6"/>
  <c r="AM65" i="6"/>
  <c r="AL65" i="6"/>
  <c r="AM64" i="6"/>
  <c r="AL64" i="6"/>
  <c r="AM63" i="6"/>
  <c r="AL63" i="6"/>
  <c r="AM62" i="6"/>
  <c r="AL62" i="6"/>
  <c r="AM60" i="6"/>
  <c r="AL60" i="6"/>
  <c r="AM59" i="6"/>
  <c r="AL59" i="6"/>
  <c r="AM58" i="6"/>
  <c r="AL58" i="6"/>
  <c r="AM57" i="6"/>
  <c r="AL57" i="6"/>
  <c r="AM56" i="6"/>
  <c r="AL56" i="6"/>
  <c r="AM55" i="6"/>
  <c r="AL55" i="6"/>
  <c r="AM54" i="6"/>
  <c r="AL54" i="6"/>
  <c r="AM53" i="6"/>
  <c r="AL53" i="6"/>
  <c r="AM52" i="6"/>
  <c r="AL52" i="6"/>
  <c r="AM51" i="6"/>
  <c r="AL51" i="6"/>
  <c r="AM49" i="6"/>
  <c r="AL49" i="6"/>
  <c r="AM48" i="6"/>
  <c r="AL48" i="6"/>
  <c r="AM46" i="6"/>
  <c r="AL46" i="6"/>
  <c r="AM45" i="6"/>
  <c r="AL45" i="6"/>
  <c r="AM44" i="6"/>
  <c r="AL44" i="6"/>
  <c r="AM43" i="6"/>
  <c r="AL43" i="6"/>
  <c r="AM42" i="6"/>
  <c r="AL42" i="6"/>
  <c r="AM41" i="6"/>
  <c r="AL41" i="6"/>
  <c r="AM40" i="6"/>
  <c r="AL40" i="6"/>
  <c r="AM39" i="6"/>
  <c r="AL39" i="6"/>
  <c r="AM38" i="6"/>
  <c r="AL38" i="6"/>
  <c r="AM37" i="6"/>
  <c r="AL37" i="6"/>
  <c r="AM35" i="6"/>
  <c r="AL35" i="6"/>
  <c r="AM34" i="6"/>
  <c r="AL34" i="6"/>
  <c r="AM33" i="6"/>
  <c r="AL33" i="6"/>
  <c r="AM32" i="6"/>
  <c r="AL32" i="6"/>
  <c r="AM31" i="6"/>
  <c r="AL31" i="6"/>
  <c r="AM30" i="6"/>
  <c r="AL30" i="6"/>
  <c r="AM29" i="6"/>
  <c r="AL29" i="6"/>
  <c r="AM28" i="6"/>
  <c r="AL28" i="6"/>
  <c r="AM27" i="6"/>
  <c r="AL27" i="6"/>
  <c r="AM26" i="6"/>
  <c r="AL26" i="6"/>
  <c r="AM24" i="6"/>
  <c r="AL24" i="6"/>
  <c r="AM23" i="6"/>
  <c r="AL23" i="6"/>
  <c r="AM22" i="6"/>
  <c r="AL22" i="6"/>
  <c r="AM21" i="6"/>
  <c r="AL21" i="6"/>
  <c r="AM20" i="6"/>
  <c r="AL20" i="6"/>
  <c r="AM19" i="6"/>
  <c r="AL19" i="6"/>
  <c r="AM18" i="6"/>
  <c r="AL18" i="6"/>
  <c r="AM17" i="6"/>
  <c r="AL17" i="6"/>
  <c r="AM16" i="6"/>
  <c r="AL16" i="6"/>
  <c r="AM15" i="6"/>
  <c r="AL15" i="6"/>
  <c r="AM13" i="6"/>
  <c r="AL13" i="6"/>
  <c r="AM12" i="6"/>
  <c r="AL12" i="6"/>
  <c r="AM11" i="6"/>
  <c r="AM10" i="6"/>
  <c r="AL10" i="6"/>
  <c r="AM9" i="6"/>
  <c r="AL9" i="6"/>
  <c r="AM8" i="6"/>
  <c r="AL8" i="6"/>
  <c r="AM7" i="6"/>
  <c r="AL7" i="6"/>
  <c r="AM6" i="6"/>
  <c r="AL6" i="6"/>
  <c r="AM4" i="6"/>
  <c r="AL4" i="6"/>
  <c r="AM3" i="6"/>
  <c r="AL3" i="6"/>
  <c r="O26" i="5"/>
  <c r="N26" i="5"/>
  <c r="M26" i="5"/>
  <c r="L26" i="5"/>
  <c r="G26" i="5"/>
  <c r="F26" i="5"/>
  <c r="E26" i="5"/>
  <c r="D26" i="5"/>
  <c r="F24" i="5"/>
  <c r="E24" i="5"/>
  <c r="O15" i="5"/>
  <c r="L16" i="5"/>
  <c r="L15" i="5" s="1"/>
  <c r="G16" i="5"/>
  <c r="G24" i="5" s="1"/>
  <c r="D16" i="5"/>
  <c r="D15" i="5" s="1"/>
  <c r="N15" i="5"/>
  <c r="M15" i="5"/>
  <c r="F15" i="5"/>
  <c r="E15" i="5"/>
  <c r="L11" i="5"/>
  <c r="D11" i="5"/>
  <c r="L5" i="5"/>
  <c r="D5" i="5"/>
  <c r="O26" i="4"/>
  <c r="M4" i="4"/>
  <c r="AI217" i="6" l="1"/>
  <c r="AJ36" i="7"/>
  <c r="AK46" i="7"/>
  <c r="AI58" i="7"/>
  <c r="AI303" i="7"/>
  <c r="I18" i="8" s="1"/>
  <c r="AJ217" i="6"/>
  <c r="AK307" i="6"/>
  <c r="AK36" i="7"/>
  <c r="AJ210" i="7"/>
  <c r="AJ314" i="7"/>
  <c r="AJ303" i="7"/>
  <c r="J18" i="8" s="1"/>
  <c r="AK203" i="6"/>
  <c r="H21" i="5"/>
  <c r="AI186" i="6"/>
  <c r="E7" i="5" s="1"/>
  <c r="AI166" i="6"/>
  <c r="AJ209" i="6"/>
  <c r="AI53" i="7"/>
  <c r="AK210" i="7"/>
  <c r="O13" i="5" s="1"/>
  <c r="AK303" i="7"/>
  <c r="AK58" i="7"/>
  <c r="AK53" i="7"/>
  <c r="AK195" i="7"/>
  <c r="O10" i="5" s="1"/>
  <c r="AK129" i="7"/>
  <c r="AJ186" i="6"/>
  <c r="F7" i="5" s="1"/>
  <c r="AJ166" i="6"/>
  <c r="AK209" i="6"/>
  <c r="AK49" i="7"/>
  <c r="AJ58" i="7"/>
  <c r="AJ53" i="7"/>
  <c r="AK186" i="6"/>
  <c r="G7" i="5" s="1"/>
  <c r="AK166" i="6"/>
  <c r="AI193" i="6"/>
  <c r="AI209" i="6"/>
  <c r="AK17" i="7"/>
  <c r="AI205" i="7"/>
  <c r="M12" i="5" s="1"/>
  <c r="M10" i="5"/>
  <c r="AI129" i="7"/>
  <c r="AJ205" i="7"/>
  <c r="AJ298" i="6"/>
  <c r="AJ195" i="7"/>
  <c r="AJ129" i="7"/>
  <c r="AI298" i="6"/>
  <c r="AK298" i="6"/>
  <c r="AJ257" i="6"/>
  <c r="F9" i="5" s="1"/>
  <c r="AK257" i="6"/>
  <c r="G9" i="5" s="1"/>
  <c r="AI283" i="6"/>
  <c r="E14" i="5" s="1"/>
  <c r="E11" i="5" s="1"/>
  <c r="AI271" i="6"/>
  <c r="AK283" i="6"/>
  <c r="G14" i="5" s="1"/>
  <c r="G11" i="5" s="1"/>
  <c r="AK271" i="6"/>
  <c r="AJ283" i="6"/>
  <c r="F14" i="5" s="1"/>
  <c r="F11" i="5" s="1"/>
  <c r="AJ271" i="6"/>
  <c r="AK5" i="6"/>
  <c r="AI5" i="6"/>
  <c r="AJ5" i="6"/>
  <c r="D30" i="5"/>
  <c r="L4" i="5"/>
  <c r="L25" i="5" s="1"/>
  <c r="L27" i="5" s="1"/>
  <c r="D32" i="5"/>
  <c r="F32" i="5"/>
  <c r="AL72" i="6"/>
  <c r="AL106" i="6"/>
  <c r="AL84" i="7"/>
  <c r="AL93" i="7"/>
  <c r="AM129" i="7"/>
  <c r="AL164" i="7"/>
  <c r="AM307" i="6"/>
  <c r="AL314" i="6"/>
  <c r="AL206" i="6"/>
  <c r="AL234" i="7"/>
  <c r="AL247" i="7"/>
  <c r="AL279" i="7"/>
  <c r="AL280" i="7"/>
  <c r="AL139" i="6"/>
  <c r="AM149" i="6"/>
  <c r="AL188" i="6"/>
  <c r="AL181" i="7"/>
  <c r="AL302" i="7"/>
  <c r="AM166" i="7"/>
  <c r="AM106" i="6"/>
  <c r="AM188" i="6"/>
  <c r="AL61" i="6"/>
  <c r="AL235" i="6"/>
  <c r="AL73" i="7"/>
  <c r="AM142" i="7"/>
  <c r="AI272" i="7"/>
  <c r="M14" i="5" s="1"/>
  <c r="AM311" i="7"/>
  <c r="E32" i="5"/>
  <c r="AM36" i="6"/>
  <c r="AM50" i="6"/>
  <c r="AM87" i="6"/>
  <c r="AM139" i="6"/>
  <c r="AL193" i="6"/>
  <c r="AM203" i="6"/>
  <c r="AM261" i="6"/>
  <c r="AL142" i="7"/>
  <c r="AM234" i="7"/>
  <c r="AM261" i="7"/>
  <c r="AM302" i="7"/>
  <c r="AL111" i="6"/>
  <c r="AM231" i="6"/>
  <c r="AL96" i="6"/>
  <c r="AM288" i="6"/>
  <c r="AM280" i="7"/>
  <c r="AM61" i="6"/>
  <c r="AM96" i="6"/>
  <c r="AM144" i="6"/>
  <c r="AL209" i="6"/>
  <c r="AL211" i="6"/>
  <c r="AM219" i="6"/>
  <c r="AM235" i="6"/>
  <c r="AL271" i="6"/>
  <c r="AL288" i="6"/>
  <c r="AM289" i="6"/>
  <c r="AK22" i="7"/>
  <c r="O6" i="5" s="1"/>
  <c r="AM46" i="7"/>
  <c r="AM49" i="7"/>
  <c r="AM61" i="7"/>
  <c r="AL129" i="7"/>
  <c r="AM164" i="7"/>
  <c r="AM212" i="7"/>
  <c r="AJ272" i="7"/>
  <c r="AM279" i="7"/>
  <c r="AL5" i="6"/>
  <c r="AM72" i="6"/>
  <c r="AM118" i="6"/>
  <c r="AM93" i="7"/>
  <c r="AL131" i="7"/>
  <c r="D31" i="5"/>
  <c r="AL114" i="6"/>
  <c r="AM206" i="6"/>
  <c r="AM84" i="7"/>
  <c r="AM5" i="6"/>
  <c r="AL50" i="6"/>
  <c r="AL87" i="6"/>
  <c r="AM111" i="6"/>
  <c r="AL118" i="6"/>
  <c r="AL144" i="6"/>
  <c r="AL203" i="6"/>
  <c r="AM211" i="6"/>
  <c r="AL261" i="6"/>
  <c r="AL21" i="7"/>
  <c r="AL53" i="7"/>
  <c r="AM73" i="7"/>
  <c r="AM100" i="7"/>
  <c r="AM131" i="7"/>
  <c r="AM192" i="7"/>
  <c r="AL212" i="7"/>
  <c r="AM223" i="7"/>
  <c r="AK272" i="7"/>
  <c r="O14" i="5" s="1"/>
  <c r="AM285" i="7"/>
  <c r="AL49" i="7"/>
  <c r="AM167" i="6"/>
  <c r="AL167" i="6"/>
  <c r="AL36" i="6"/>
  <c r="AL25" i="6"/>
  <c r="AM25" i="6"/>
  <c r="AM7" i="7"/>
  <c r="AL197" i="7"/>
  <c r="AM201" i="7"/>
  <c r="AM202" i="7"/>
  <c r="AL203" i="7"/>
  <c r="AL204" i="7"/>
  <c r="AM181" i="7"/>
  <c r="AM153" i="7"/>
  <c r="AL231" i="6"/>
  <c r="AL198" i="7"/>
  <c r="AL193" i="7"/>
  <c r="AM197" i="7"/>
  <c r="AM204" i="7"/>
  <c r="AM198" i="7"/>
  <c r="AM206" i="7"/>
  <c r="AL207" i="7"/>
  <c r="AM208" i="7"/>
  <c r="AL209" i="7"/>
  <c r="AM203" i="7"/>
  <c r="AL200" i="7"/>
  <c r="AM209" i="7"/>
  <c r="AM200" i="7"/>
  <c r="AL4" i="7"/>
  <c r="AM34" i="7"/>
  <c r="AM36" i="7"/>
  <c r="AL34" i="7"/>
  <c r="AL37" i="7"/>
  <c r="AL46" i="7"/>
  <c r="AM50" i="7"/>
  <c r="AM30" i="7"/>
  <c r="AL30" i="7"/>
  <c r="AL100" i="7"/>
  <c r="AM207" i="7"/>
  <c r="AL311" i="7"/>
  <c r="AL23" i="7"/>
  <c r="I63" i="8" s="1"/>
  <c r="AL201" i="7"/>
  <c r="AL208" i="7"/>
  <c r="AM247" i="7"/>
  <c r="AL103" i="7"/>
  <c r="AL25" i="7"/>
  <c r="AM103" i="7"/>
  <c r="AL153" i="7"/>
  <c r="AL166" i="7"/>
  <c r="AL223" i="7"/>
  <c r="AM4" i="7"/>
  <c r="AM21" i="7"/>
  <c r="AL202" i="7"/>
  <c r="AL206" i="7"/>
  <c r="AL261" i="7"/>
  <c r="AL285" i="7"/>
  <c r="AL61" i="7"/>
  <c r="AM217" i="6"/>
  <c r="AL217" i="6"/>
  <c r="AL149" i="6"/>
  <c r="AM14" i="6"/>
  <c r="AL14" i="6"/>
  <c r="AM193" i="6"/>
  <c r="AL84" i="6"/>
  <c r="AL245" i="6"/>
  <c r="AL289" i="6"/>
  <c r="AM295" i="6"/>
  <c r="AM84" i="6"/>
  <c r="AM245" i="6"/>
  <c r="AL156" i="6"/>
  <c r="AL201" i="6"/>
  <c r="AL219" i="6"/>
  <c r="AM271" i="6"/>
  <c r="AL296" i="6"/>
  <c r="D76" i="8" s="1"/>
  <c r="AL307" i="6"/>
  <c r="AM314" i="6"/>
  <c r="D4" i="5"/>
  <c r="D25" i="5" s="1"/>
  <c r="D27" i="5" s="1"/>
  <c r="G15" i="5"/>
  <c r="G32" i="5" s="1"/>
  <c r="M7" i="2"/>
  <c r="N23" i="4"/>
  <c r="N14" i="5" l="1"/>
  <c r="J16" i="8"/>
  <c r="J72" i="8" s="1"/>
  <c r="N13" i="5"/>
  <c r="J15" i="8"/>
  <c r="J71" i="8" s="1"/>
  <c r="N10" i="5"/>
  <c r="J10" i="8"/>
  <c r="J66" i="8" s="1"/>
  <c r="N12" i="5"/>
  <c r="J14" i="8"/>
  <c r="J17" i="8"/>
  <c r="J74" i="8"/>
  <c r="J73" i="8" s="1"/>
  <c r="J25" i="8"/>
  <c r="M6" i="5"/>
  <c r="I6" i="8"/>
  <c r="AK222" i="6"/>
  <c r="G8" i="5" s="1"/>
  <c r="AK314" i="7"/>
  <c r="AJ222" i="6"/>
  <c r="F8" i="5" s="1"/>
  <c r="AJ22" i="7"/>
  <c r="AI59" i="7"/>
  <c r="M8" i="5" s="1"/>
  <c r="M5" i="5" s="1"/>
  <c r="H13" i="5"/>
  <c r="AJ59" i="7"/>
  <c r="M11" i="5"/>
  <c r="E31" i="5" s="1"/>
  <c r="O11" i="5"/>
  <c r="G31" i="5" s="1"/>
  <c r="AI314" i="7"/>
  <c r="AI222" i="6"/>
  <c r="E8" i="5" s="1"/>
  <c r="AK59" i="7"/>
  <c r="O8" i="5" s="1"/>
  <c r="O5" i="5" s="1"/>
  <c r="D29" i="5"/>
  <c r="D33" i="5" s="1"/>
  <c r="AI317" i="6"/>
  <c r="AI308" i="6"/>
  <c r="AK308" i="6"/>
  <c r="AJ317" i="6"/>
  <c r="AJ308" i="6"/>
  <c r="E18" i="8" s="1"/>
  <c r="AK317" i="6"/>
  <c r="AJ11" i="6"/>
  <c r="AM209" i="6"/>
  <c r="AI11" i="6"/>
  <c r="AK11" i="6"/>
  <c r="AM123" i="7"/>
  <c r="AM283" i="6"/>
  <c r="AM166" i="6"/>
  <c r="AM95" i="6"/>
  <c r="AL295" i="6"/>
  <c r="AL95" i="6"/>
  <c r="AM292" i="7"/>
  <c r="AL123" i="7"/>
  <c r="AL257" i="6"/>
  <c r="H9" i="5" s="1"/>
  <c r="AM83" i="6"/>
  <c r="AM22" i="7"/>
  <c r="AM222" i="6"/>
  <c r="AM257" i="6"/>
  <c r="AM47" i="6"/>
  <c r="AL210" i="7"/>
  <c r="AM210" i="7"/>
  <c r="AM272" i="7"/>
  <c r="AM205" i="7"/>
  <c r="AL17" i="7"/>
  <c r="AL272" i="7"/>
  <c r="AL292" i="7"/>
  <c r="AM17" i="7"/>
  <c r="AM195" i="7"/>
  <c r="AM58" i="7"/>
  <c r="AL205" i="7"/>
  <c r="AL58" i="7"/>
  <c r="AM33" i="7"/>
  <c r="AL33" i="7"/>
  <c r="AL36" i="7"/>
  <c r="AM303" i="7"/>
  <c r="AM23" i="7"/>
  <c r="AL83" i="6"/>
  <c r="H12" i="5" s="1"/>
  <c r="AL283" i="6"/>
  <c r="H14" i="5" s="1"/>
  <c r="AL222" i="6"/>
  <c r="AM298" i="6"/>
  <c r="AL298" i="6"/>
  <c r="H18" i="5" s="1"/>
  <c r="AL11" i="6"/>
  <c r="AL47" i="6"/>
  <c r="AL166" i="6"/>
  <c r="O9" i="4"/>
  <c r="O13" i="4"/>
  <c r="O21" i="4"/>
  <c r="O25" i="4"/>
  <c r="N22" i="4"/>
  <c r="P22" i="4" s="1"/>
  <c r="M9" i="4"/>
  <c r="F9" i="4"/>
  <c r="K9" i="4"/>
  <c r="J9" i="4"/>
  <c r="N26" i="4"/>
  <c r="P26" i="4" s="1"/>
  <c r="M25" i="4"/>
  <c r="L25" i="4"/>
  <c r="K25" i="4"/>
  <c r="J25" i="4"/>
  <c r="I25" i="4"/>
  <c r="F25" i="4"/>
  <c r="B25" i="4"/>
  <c r="H25" i="4"/>
  <c r="G25" i="4"/>
  <c r="E25" i="4"/>
  <c r="D25" i="4"/>
  <c r="N24" i="4"/>
  <c r="P23" i="4"/>
  <c r="L21" i="4"/>
  <c r="L27" i="4" s="1"/>
  <c r="K21" i="4"/>
  <c r="J21" i="4"/>
  <c r="J27" i="4" s="1"/>
  <c r="I21" i="4"/>
  <c r="H21" i="4"/>
  <c r="G21" i="4"/>
  <c r="F21" i="4"/>
  <c r="C21" i="4"/>
  <c r="B21" i="4"/>
  <c r="N20" i="4"/>
  <c r="P20" i="4" s="1"/>
  <c r="N19" i="4"/>
  <c r="P19" i="4" s="1"/>
  <c r="E21" i="4"/>
  <c r="D21" i="4"/>
  <c r="N17" i="4"/>
  <c r="P17" i="4" s="1"/>
  <c r="Q17" i="4" s="1"/>
  <c r="N16" i="4"/>
  <c r="P16" i="4" s="1"/>
  <c r="N14" i="4"/>
  <c r="P14" i="4" s="1"/>
  <c r="J13" i="4"/>
  <c r="I13" i="4"/>
  <c r="H13" i="4"/>
  <c r="G13" i="4"/>
  <c r="E13" i="4"/>
  <c r="C13" i="4"/>
  <c r="B13" i="4"/>
  <c r="N12" i="4"/>
  <c r="P12" i="4" s="1"/>
  <c r="D13" i="4"/>
  <c r="M13" i="4"/>
  <c r="L13" i="4"/>
  <c r="K13" i="4"/>
  <c r="F13" i="4"/>
  <c r="N8" i="4"/>
  <c r="P8" i="4" s="1"/>
  <c r="N7" i="4"/>
  <c r="P7" i="4" s="1"/>
  <c r="N6" i="4"/>
  <c r="P6" i="4" s="1"/>
  <c r="L9" i="4"/>
  <c r="I9" i="4"/>
  <c r="H9" i="4"/>
  <c r="E9" i="4"/>
  <c r="D9" i="4"/>
  <c r="N11" i="5" l="1"/>
  <c r="F31" i="5" s="1"/>
  <c r="E74" i="8"/>
  <c r="E73" i="8" s="1"/>
  <c r="E25" i="8"/>
  <c r="E17" i="8"/>
  <c r="E33" i="8" s="1"/>
  <c r="J70" i="8"/>
  <c r="J69" i="8" s="1"/>
  <c r="J13" i="8"/>
  <c r="E32" i="8" s="1"/>
  <c r="N6" i="5"/>
  <c r="J6" i="8"/>
  <c r="J62" i="8" s="1"/>
  <c r="N8" i="5"/>
  <c r="J8" i="8"/>
  <c r="D13" i="8"/>
  <c r="D71" i="8"/>
  <c r="D69" i="8" s="1"/>
  <c r="O4" i="5"/>
  <c r="O25" i="5" s="1"/>
  <c r="O27" i="5" s="1"/>
  <c r="M4" i="5"/>
  <c r="M25" i="5" s="1"/>
  <c r="M27" i="5" s="1"/>
  <c r="AJ196" i="7"/>
  <c r="D62" i="8"/>
  <c r="H6" i="5"/>
  <c r="I72" i="8"/>
  <c r="P14" i="5"/>
  <c r="I65" i="8"/>
  <c r="P9" i="5"/>
  <c r="AK196" i="7"/>
  <c r="P13" i="5"/>
  <c r="P12" i="5"/>
  <c r="D64" i="8"/>
  <c r="H8" i="5"/>
  <c r="P7" i="5"/>
  <c r="P6" i="5"/>
  <c r="AI47" i="6"/>
  <c r="E6" i="5" s="1"/>
  <c r="E5" i="5" s="1"/>
  <c r="AK47" i="6"/>
  <c r="G6" i="5" s="1"/>
  <c r="G5" i="5" s="1"/>
  <c r="AJ47" i="6"/>
  <c r="AL186" i="6"/>
  <c r="AL59" i="7"/>
  <c r="AM314" i="7"/>
  <c r="AM59" i="7"/>
  <c r="AM186" i="6"/>
  <c r="I27" i="4"/>
  <c r="F27" i="4"/>
  <c r="E27" i="4"/>
  <c r="O27" i="4"/>
  <c r="O15" i="4"/>
  <c r="B9" i="4"/>
  <c r="B15" i="4" s="1"/>
  <c r="B27" i="4"/>
  <c r="K27" i="4"/>
  <c r="M15" i="4"/>
  <c r="L15" i="4"/>
  <c r="K15" i="4"/>
  <c r="J15" i="4"/>
  <c r="I15" i="4"/>
  <c r="H15" i="4"/>
  <c r="F15" i="4"/>
  <c r="E15" i="4"/>
  <c r="P24" i="4"/>
  <c r="N25" i="4"/>
  <c r="D15" i="4"/>
  <c r="G27" i="4"/>
  <c r="D27" i="4"/>
  <c r="H27" i="4"/>
  <c r="C25" i="4"/>
  <c r="C27" i="4" s="1"/>
  <c r="N10" i="4"/>
  <c r="N11" i="4"/>
  <c r="P11" i="4" s="1"/>
  <c r="N18" i="4"/>
  <c r="P18" i="4" s="1"/>
  <c r="M21" i="4"/>
  <c r="M27" i="4" s="1"/>
  <c r="G37" i="2"/>
  <c r="G36" i="2"/>
  <c r="G35" i="2"/>
  <c r="G34" i="2"/>
  <c r="G33" i="2"/>
  <c r="G32" i="2"/>
  <c r="G31" i="2"/>
  <c r="G30" i="2"/>
  <c r="E18" i="2"/>
  <c r="M18" i="2"/>
  <c r="L18" i="2"/>
  <c r="K18" i="2"/>
  <c r="J18" i="2"/>
  <c r="I18" i="2"/>
  <c r="H18" i="2"/>
  <c r="G18" i="2"/>
  <c r="F18" i="2"/>
  <c r="M11" i="2"/>
  <c r="L11" i="2"/>
  <c r="K11" i="2"/>
  <c r="J11" i="2"/>
  <c r="I11" i="2"/>
  <c r="H11" i="2"/>
  <c r="G11" i="2"/>
  <c r="F11" i="2"/>
  <c r="E11" i="2"/>
  <c r="L7" i="2"/>
  <c r="K7" i="2"/>
  <c r="J7" i="2"/>
  <c r="I7" i="2"/>
  <c r="H7" i="2"/>
  <c r="G7" i="2"/>
  <c r="F7" i="2"/>
  <c r="E7" i="2"/>
  <c r="L5" i="2"/>
  <c r="M5" i="2"/>
  <c r="K5" i="2"/>
  <c r="J5" i="2"/>
  <c r="I5" i="2"/>
  <c r="H5" i="2"/>
  <c r="G5" i="2"/>
  <c r="F5" i="2"/>
  <c r="E5" i="2"/>
  <c r="F6" i="5" l="1"/>
  <c r="F5" i="5" s="1"/>
  <c r="E6" i="8"/>
  <c r="N5" i="5"/>
  <c r="N4" i="5" s="1"/>
  <c r="N25" i="5" s="1"/>
  <c r="N27" i="5" s="1"/>
  <c r="J64" i="8"/>
  <c r="J61" i="8" s="1"/>
  <c r="J60" i="8" s="1"/>
  <c r="J79" i="8" s="1"/>
  <c r="K79" i="8" s="1"/>
  <c r="J5" i="8"/>
  <c r="K5" i="8" s="1"/>
  <c r="I70" i="8"/>
  <c r="I13" i="8"/>
  <c r="I62" i="8"/>
  <c r="I71" i="8"/>
  <c r="D32" i="8"/>
  <c r="D63" i="8"/>
  <c r="D61" i="8" s="1"/>
  <c r="D60" i="8" s="1"/>
  <c r="H7" i="5"/>
  <c r="F4" i="5"/>
  <c r="F25" i="5" s="1"/>
  <c r="F27" i="5" s="1"/>
  <c r="AK315" i="7"/>
  <c r="AK273" i="7"/>
  <c r="E30" i="5"/>
  <c r="E29" i="5" s="1"/>
  <c r="E33" i="5" s="1"/>
  <c r="E4" i="5"/>
  <c r="E25" i="5" s="1"/>
  <c r="E27" i="5" s="1"/>
  <c r="I64" i="8"/>
  <c r="P8" i="5"/>
  <c r="G4" i="5"/>
  <c r="G25" i="5" s="1"/>
  <c r="G27" i="5" s="1"/>
  <c r="G30" i="5"/>
  <c r="G29" i="5" s="1"/>
  <c r="G33" i="5" s="1"/>
  <c r="AJ315" i="7"/>
  <c r="AJ317" i="7" s="1"/>
  <c r="AJ273" i="7"/>
  <c r="AK284" i="6"/>
  <c r="AJ318" i="6"/>
  <c r="AJ284" i="6"/>
  <c r="AI318" i="6"/>
  <c r="AI284" i="6"/>
  <c r="AM196" i="7"/>
  <c r="AL284" i="6"/>
  <c r="AM284" i="6"/>
  <c r="J20" i="2"/>
  <c r="F20" i="2"/>
  <c r="G20" i="2"/>
  <c r="I20" i="2"/>
  <c r="K20" i="2"/>
  <c r="G9" i="4"/>
  <c r="G15" i="4" s="1"/>
  <c r="N21" i="4"/>
  <c r="P21" i="4" s="1"/>
  <c r="B28" i="4"/>
  <c r="N13" i="4"/>
  <c r="P13" i="4" s="1"/>
  <c r="P10" i="4"/>
  <c r="N27" i="4"/>
  <c r="P27" i="4" s="1"/>
  <c r="M20" i="2"/>
  <c r="H20" i="2"/>
  <c r="E20" i="2"/>
  <c r="L20" i="2"/>
  <c r="E62" i="8" l="1"/>
  <c r="E61" i="8" s="1"/>
  <c r="E60" i="8" s="1"/>
  <c r="E79" i="8" s="1"/>
  <c r="E5" i="8"/>
  <c r="E4" i="8" s="1"/>
  <c r="E26" i="8" s="1"/>
  <c r="E28" i="8" s="1"/>
  <c r="F30" i="5"/>
  <c r="F29" i="5" s="1"/>
  <c r="F33" i="5" s="1"/>
  <c r="J4" i="8"/>
  <c r="I69" i="8"/>
  <c r="D5" i="8"/>
  <c r="E320" i="6"/>
  <c r="AK318" i="6"/>
  <c r="AM273" i="7"/>
  <c r="N4" i="4"/>
  <c r="C9" i="4"/>
  <c r="C15" i="4" s="1"/>
  <c r="C28" i="4" s="1"/>
  <c r="D28" i="4" s="1"/>
  <c r="E28" i="4" s="1"/>
  <c r="F28" i="4" s="1"/>
  <c r="G28" i="4" s="1"/>
  <c r="H28" i="4" s="1"/>
  <c r="I28" i="4" s="1"/>
  <c r="J28" i="4" s="1"/>
  <c r="K28" i="4" s="1"/>
  <c r="L28" i="4" s="1"/>
  <c r="N5" i="4"/>
  <c r="P5" i="4" s="1"/>
  <c r="E31" i="8" l="1"/>
  <c r="E30" i="8"/>
  <c r="J26" i="8"/>
  <c r="J28" i="8" s="1"/>
  <c r="K28" i="8" s="1"/>
  <c r="D4" i="8"/>
  <c r="AM315" i="7"/>
  <c r="N9" i="4"/>
  <c r="N15" i="4" s="1"/>
  <c r="P4" i="4"/>
  <c r="H23" i="5" l="1"/>
  <c r="H22" i="5" l="1"/>
  <c r="H11" i="5" l="1"/>
  <c r="H5" i="5" l="1"/>
  <c r="H4" i="5" l="1"/>
  <c r="AL301" i="6" l="1"/>
  <c r="H19" i="5" s="1"/>
  <c r="H16" i="5" s="1"/>
  <c r="D27" i="8" l="1"/>
  <c r="D75" i="8"/>
  <c r="AM301" i="6" l="1"/>
  <c r="AM308" i="6" l="1"/>
  <c r="AL308" i="6"/>
  <c r="D74" i="8" s="1"/>
  <c r="D73" i="8" s="1"/>
  <c r="H26" i="5"/>
  <c r="D25" i="8" l="1"/>
  <c r="D17" i="8"/>
  <c r="AM317" i="6"/>
  <c r="AL317" i="6"/>
  <c r="AM318" i="6" l="1"/>
  <c r="H24" i="5"/>
  <c r="H15" i="5"/>
  <c r="H25" i="5" s="1"/>
  <c r="H27" i="5" s="1"/>
  <c r="AL295" i="7"/>
  <c r="I27" i="8" l="1"/>
  <c r="P19" i="5"/>
  <c r="P16" i="5" s="1"/>
  <c r="AL303" i="7"/>
  <c r="I74" i="8" s="1"/>
  <c r="I73" i="8" s="1"/>
  <c r="P26" i="5" l="1"/>
  <c r="I25" i="8"/>
  <c r="I17" i="8"/>
  <c r="D33" i="8" s="1"/>
  <c r="AL314" i="7"/>
  <c r="P24" i="5"/>
  <c r="P15" i="5"/>
  <c r="H32" i="5" l="1"/>
  <c r="P11" i="5" l="1"/>
  <c r="H31" i="5" s="1"/>
  <c r="H20" i="12" l="1"/>
  <c r="H19" i="12" s="1"/>
  <c r="H42" i="12" s="1"/>
  <c r="H3" i="12" s="1"/>
  <c r="C54" i="10" l="1"/>
  <c r="C4" i="10" s="1"/>
  <c r="I12" i="8" s="1"/>
  <c r="C2" i="10" l="1"/>
  <c r="F192" i="7" s="1"/>
  <c r="F195" i="7" s="1"/>
  <c r="F273" i="7" l="1"/>
  <c r="F196" i="7"/>
  <c r="AL196" i="7" s="1"/>
  <c r="I38" i="8"/>
  <c r="I37" i="8" s="1"/>
  <c r="I57" i="8" s="1"/>
  <c r="AL194" i="7"/>
  <c r="F315" i="7" l="1"/>
  <c r="AL273" i="7"/>
  <c r="AL192" i="7"/>
  <c r="AL195" i="7" l="1"/>
  <c r="P10" i="5" l="1"/>
  <c r="P5" i="5" s="1"/>
  <c r="I66" i="8" l="1"/>
  <c r="I61" i="8" s="1"/>
  <c r="H30" i="5"/>
  <c r="H29" i="5" s="1"/>
  <c r="H33" i="5" s="1"/>
  <c r="P4" i="5"/>
  <c r="P25" i="5" s="1"/>
  <c r="P27" i="5" s="1"/>
  <c r="D30" i="8" l="1"/>
  <c r="I60" i="8"/>
  <c r="I79" i="8" s="1"/>
  <c r="AL315" i="7"/>
  <c r="I26" i="8" l="1"/>
  <c r="I28" i="8" s="1"/>
  <c r="P5" i="11"/>
</calcChain>
</file>

<file path=xl/comments1.xml><?xml version="1.0" encoding="utf-8"?>
<comments xmlns="http://schemas.openxmlformats.org/spreadsheetml/2006/main">
  <authors>
    <author>Volosin Katalin</author>
    <author>Vosolin Katalin</author>
  </authors>
  <commentList>
    <comment ref="E178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közterület</t>
        </r>
      </text>
    </comment>
    <comment ref="E17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adó iroda és gazdasági iroda</t>
        </r>
      </text>
    </comment>
    <comment ref="F19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főleg védőoltáshoz kapcsolódik</t>
        </r>
      </text>
    </comment>
    <comment ref="E274" authorId="1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Batthyány L.Alalpítvány - parkolóhely létesítése</t>
        </r>
      </text>
    </comment>
  </commentList>
</comments>
</file>

<file path=xl/comments2.xml><?xml version="1.0" encoding="utf-8"?>
<comments xmlns="http://schemas.openxmlformats.org/spreadsheetml/2006/main">
  <authors>
    <author>Volosin Katalin</author>
  </authors>
  <commentList>
    <comment ref="A7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céltartalék</t>
        </r>
      </text>
    </comment>
  </commentList>
</comments>
</file>

<file path=xl/sharedStrings.xml><?xml version="1.0" encoding="utf-8"?>
<sst xmlns="http://schemas.openxmlformats.org/spreadsheetml/2006/main" count="2611" uniqueCount="1512">
  <si>
    <t>Adatok forintban</t>
  </si>
  <si>
    <t>Sor-szám</t>
  </si>
  <si>
    <t>Bevételek</t>
  </si>
  <si>
    <t>Kiadások</t>
  </si>
  <si>
    <t>1.</t>
  </si>
  <si>
    <t>Működési célú támogatások államháztartáson belülről</t>
  </si>
  <si>
    <t>Személyi juttatások</t>
  </si>
  <si>
    <t>2.</t>
  </si>
  <si>
    <t>Közhatalmi bevételek</t>
  </si>
  <si>
    <t>3.</t>
  </si>
  <si>
    <t>Működési bevételek</t>
  </si>
  <si>
    <t>Dologi kiadások</t>
  </si>
  <si>
    <t>4.</t>
  </si>
  <si>
    <t>Működési célú átvett pénzeszközök</t>
  </si>
  <si>
    <t>Ellátottak pénzbeli juttatásai</t>
  </si>
  <si>
    <t>5.</t>
  </si>
  <si>
    <t>Egyéb működési célú kiadások</t>
  </si>
  <si>
    <t>Felhalmozási célú támogatások államháztartáson belülről</t>
  </si>
  <si>
    <t>Beruházások</t>
  </si>
  <si>
    <t>Felhalmozási bevételek</t>
  </si>
  <si>
    <t>Felújítások</t>
  </si>
  <si>
    <t>Felhalmozási célú átvett pénzeszközök</t>
  </si>
  <si>
    <t>Egyéb felhalmozási célú kiadások</t>
  </si>
  <si>
    <t>Többéves kihatású kötelezettséget jelentő feladatok</t>
  </si>
  <si>
    <t>Megnevezés</t>
  </si>
  <si>
    <t xml:space="preserve">Döntés </t>
  </si>
  <si>
    <t xml:space="preserve">Kötelezettségvállalás időtartama </t>
  </si>
  <si>
    <t xml:space="preserve">Kötelezettségek a következő években </t>
  </si>
  <si>
    <t>Még fenálló kötelezettség</t>
  </si>
  <si>
    <t>Összes vállalt kötelezettség</t>
  </si>
  <si>
    <t>2022.</t>
  </si>
  <si>
    <t xml:space="preserve">1. </t>
  </si>
  <si>
    <t>Felhalmozási célú hiteltörlesztés (tőke+kamat)</t>
  </si>
  <si>
    <t xml:space="preserve">Beruházások feladatonként </t>
  </si>
  <si>
    <t xml:space="preserve">3. </t>
  </si>
  <si>
    <t xml:space="preserve">Felújítások célonként </t>
  </si>
  <si>
    <t xml:space="preserve">Megállapodás, szerződés alapján </t>
  </si>
  <si>
    <t>Egyéb</t>
  </si>
  <si>
    <t>ÖSSZESEN:</t>
  </si>
  <si>
    <t>2023.</t>
  </si>
  <si>
    <t>Sorszám</t>
  </si>
  <si>
    <t>Jogcím</t>
  </si>
  <si>
    <t>Kedvezményt megalapozó döntés száma</t>
  </si>
  <si>
    <t>Kedvezmény összege</t>
  </si>
  <si>
    <t>Építményadó</t>
  </si>
  <si>
    <t>Telekadó</t>
  </si>
  <si>
    <t>Helyiségek, eszközök hasznosításából származó bevételből nyújtott kedvezmény, mentesség összege</t>
  </si>
  <si>
    <t>Egyéb nyújtott kedvezmény vagy kölcsön elengedésének összege</t>
  </si>
  <si>
    <t>eltérés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</si>
  <si>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</si>
  <si>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</si>
  <si>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</si>
  <si>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</si>
  <si>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</si>
  <si>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</si>
  <si>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</si>
  <si>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</si>
  <si>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</si>
  <si>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</si>
  <si>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</si>
  <si>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</si>
  <si>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</si>
  <si>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</si>
  <si>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Munkaadókat terhelő járulékok</t>
  </si>
  <si>
    <t>Működési kiadás összesen:</t>
  </si>
  <si>
    <t>Felhalmozási kiadások összesen:</t>
  </si>
  <si>
    <t>Finanszírozási kiadások összesen:</t>
  </si>
  <si>
    <t>Kiadások összesen:</t>
  </si>
  <si>
    <t>Folyó bevételek összesen</t>
  </si>
  <si>
    <t>Felhalmozási bevételek összesen:</t>
  </si>
  <si>
    <t>Finanszírozási bevételek összesen:</t>
  </si>
  <si>
    <t>Bevételek összesen:</t>
  </si>
  <si>
    <t xml:space="preserve">Egyenleg </t>
  </si>
  <si>
    <t>2024.</t>
  </si>
  <si>
    <t>2022. év</t>
  </si>
  <si>
    <t>Adatok e Ft-ban</t>
  </si>
  <si>
    <t>2021. év végéig teljesített</t>
  </si>
  <si>
    <t>2025.</t>
  </si>
  <si>
    <t>2026.</t>
  </si>
  <si>
    <t>Ellátottak térítési díjának, illetve kártérítésének méltányossági alapon történő elengedése</t>
  </si>
  <si>
    <t>Lakosság részére lakásépítéshez, lakásfelújításhoz nyújtott kölcsönök elengedése</t>
  </si>
  <si>
    <t>Helyi adónál biztosított kedvezmény, mentesség adónemenként</t>
  </si>
  <si>
    <t>Idegenforgalmi adó</t>
  </si>
  <si>
    <t>Gépjárműadóból biztosított kedvezmény, mentesség</t>
  </si>
  <si>
    <t>Késedelmi pótlék</t>
  </si>
  <si>
    <t>Bírság</t>
  </si>
  <si>
    <t xml:space="preserve"> BUDAPEST I. KERÜLET BUDAVÁRI ÖNKORMÁNYZAT
ÖSSZEVONT KÖLTSÉGVETÉSI MÉRLEGE KÖZGAZDASÁGI TAGOLÁSBAN</t>
  </si>
  <si>
    <t>BUDAPEST I. KERÜLET BUDAVÁRI ÖNKORMÁNYZAT ÉS INTÉZMÉNYEI
ÖSSZEVONT BEVÉTELEI ÉS KIADÁSAI (eFt)</t>
  </si>
  <si>
    <t>BEVÉTELEK</t>
  </si>
  <si>
    <t>2020. évi teljesítés</t>
  </si>
  <si>
    <t>2021. évi eredeti előirányzat</t>
  </si>
  <si>
    <t>2021. évi módosított előirányzat</t>
  </si>
  <si>
    <t>2022. évi eredeti előirányzat</t>
  </si>
  <si>
    <t>KIADÁSOK</t>
  </si>
  <si>
    <t>Költségvetési bevételek</t>
  </si>
  <si>
    <t>Költségvetési kiadások</t>
  </si>
  <si>
    <t>Működési kiadások</t>
  </si>
  <si>
    <t>B1</t>
  </si>
  <si>
    <t>K1</t>
  </si>
  <si>
    <t>B3</t>
  </si>
  <si>
    <t>K2</t>
  </si>
  <si>
    <t>Munkaadókat terhelő adók, járulékok</t>
  </si>
  <si>
    <t>B4</t>
  </si>
  <si>
    <t>K3</t>
  </si>
  <si>
    <t>B6</t>
  </si>
  <si>
    <t>K4</t>
  </si>
  <si>
    <t>K5</t>
  </si>
  <si>
    <t>Felhalmozási kiadások</t>
  </si>
  <si>
    <t>B2</t>
  </si>
  <si>
    <t>K6</t>
  </si>
  <si>
    <t>B5</t>
  </si>
  <si>
    <t>K7</t>
  </si>
  <si>
    <t>B7</t>
  </si>
  <si>
    <t>K8</t>
  </si>
  <si>
    <t>Finanszírozási bevételek (B8)</t>
  </si>
  <si>
    <t>Finanszírozási kiadások (K9)</t>
  </si>
  <si>
    <t>B81</t>
  </si>
  <si>
    <t>Belföldi finanszírozás bevételei</t>
  </si>
  <si>
    <t>K91</t>
  </si>
  <si>
    <t>Belföldi finanszírozás kiadásai</t>
  </si>
  <si>
    <t>ebből: belföldi értékpapírok bevételei</t>
  </si>
  <si>
    <t>ebből: belföldi értékpapírok kiadásai</t>
  </si>
  <si>
    <t>ebből: maradvány igénybevétele</t>
  </si>
  <si>
    <t>ebből: központi, irányító szervi támogatások folyósítása</t>
  </si>
  <si>
    <t>Államháztartáson belüli megelőlegezések</t>
  </si>
  <si>
    <t>Államháztartáson belüli megelőlegezések visszafizetése</t>
  </si>
  <si>
    <t>betét velhasználása</t>
  </si>
  <si>
    <t>betét lekötése</t>
  </si>
  <si>
    <t>B82</t>
  </si>
  <si>
    <t>Külföldi finanszírozás bevételei</t>
  </si>
  <si>
    <t>K92</t>
  </si>
  <si>
    <t>Külföldi finanszírozás kiadásai</t>
  </si>
  <si>
    <t>B84</t>
  </si>
  <si>
    <t>Váltóbevételek</t>
  </si>
  <si>
    <t>K94</t>
  </si>
  <si>
    <t>Váltókiadások</t>
  </si>
  <si>
    <t>Irányító szerv tám nélküli finansz bevétel (Belf.fin-Kpi tám)</t>
  </si>
  <si>
    <t>Irányító szerv tám nélküli finansz kiadás (Belf.fin-Kpi tám)</t>
  </si>
  <si>
    <t>BEVÉTELEK MINDÖSSZESEN</t>
  </si>
  <si>
    <t>KIADÁSOK MINDÖSSZESEN</t>
  </si>
  <si>
    <t>Belső intézményi finanszírozás korrekciója (intézményfinanszírozás)</t>
  </si>
  <si>
    <t>Belső intézményi finanszírozás korrekciója</t>
  </si>
  <si>
    <t>KONSZOLIDÁLT BEVÉTELEK</t>
  </si>
  <si>
    <t>KONSZOLIDÁLT KIADÁSOK</t>
  </si>
  <si>
    <t>BEVÉTELEK ÉS KIADÁSOK EGYENLEGE</t>
  </si>
  <si>
    <t>Költségvetési egyenleg</t>
  </si>
  <si>
    <t>Működési egyenleg</t>
  </si>
  <si>
    <t>Felhalmozási egyenleg</t>
  </si>
  <si>
    <t>Finanszírozási egyenleg</t>
  </si>
  <si>
    <t>EGYENLEG MINDÖSSZESEN</t>
  </si>
  <si>
    <t>Kiemelt előirányzat</t>
  </si>
  <si>
    <t>BUDAPEST I. KERÜLET BUDAVÁRI ÖNKORMÁNYZAT</t>
  </si>
  <si>
    <t>BUDAPEST FŐVÁROS I. KERÜLET
BUDAVÁRI POLGÁRMESTERI HIVATAL</t>
  </si>
  <si>
    <t>BUDAPEST I. KERÜLET BUDAVÁRI ÖNKORMÁNYZAT
EGÉSZSÉGÜGYI SZOLGÁLATA</t>
  </si>
  <si>
    <t>BUDAPEST I. KERÜLET BUDAVÁRI ÖNKORMÁNYZAT GAZDASÁGI MŰSZAKI ELLÁTÓ ÉS SZOLGÁLTATÓ SZERVEZET</t>
  </si>
  <si>
    <t>BRUNKSZVIK TERÉZ BUDAVÁRI ÓVODÁK</t>
  </si>
  <si>
    <t>BUDAPEST I. KERÜLET BUDAVÁRI ÖNKORMÁNYZAT EGYESÍTETT BÖLCSŐDE</t>
  </si>
  <si>
    <t>BUDAPEST I. KERÜLET BUDAVÁRI ÖNKORMÁNYZAT SZOCIÁLIS ÉS GYERMEKJÓLÉTI SZOLGÁLTATÁSI KÖZPONT</t>
  </si>
  <si>
    <t>CZAKÓ UTCAI SPORT- ÉS SZABADIDŐKÖZPONT</t>
  </si>
  <si>
    <t>ÖNKORMÁNYZAT ÖSSZESEN</t>
  </si>
  <si>
    <t>HIVATAL és INTÉZMÉNYEK ÖSSZESEN</t>
  </si>
  <si>
    <t>Helyi önkormányzatok működésének általános támogatása (B111)</t>
  </si>
  <si>
    <t>Települési önkormányzatok egyes köznevelési feladatainak támogatása (B112)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</si>
  <si>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</si>
  <si>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</si>
  <si>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</si>
  <si>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</si>
  <si>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</si>
  <si>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</si>
  <si>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</si>
  <si>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</si>
  <si>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</si>
  <si>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</si>
  <si>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</si>
  <si>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</si>
  <si>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</si>
  <si>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</si>
  <si>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</si>
  <si>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</si>
  <si>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</si>
  <si>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</si>
  <si>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</si>
  <si>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</si>
  <si>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</si>
  <si>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</si>
  <si>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</si>
  <si>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</si>
  <si>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</si>
  <si>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</si>
  <si>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</si>
  <si>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</si>
  <si>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</si>
  <si>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</si>
  <si>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</si>
  <si>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</si>
  <si>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</si>
  <si>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</si>
  <si>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</si>
  <si>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</si>
  <si>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</si>
  <si>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</si>
  <si>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</si>
  <si>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</si>
  <si>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</si>
  <si>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</si>
  <si>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</si>
  <si>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</si>
  <si>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</si>
  <si>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</si>
  <si>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</si>
  <si>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</si>
  <si>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</si>
  <si>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</si>
  <si>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</si>
  <si>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</si>
  <si>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</si>
  <si>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</si>
  <si>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</si>
  <si>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</si>
  <si>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</si>
  <si>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</si>
  <si>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</si>
  <si>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</si>
  <si>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</si>
  <si>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</si>
  <si>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</si>
  <si>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</si>
  <si>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</si>
  <si>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</si>
  <si>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</si>
  <si>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</si>
  <si>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</si>
  <si>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</si>
  <si>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</si>
  <si>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</si>
  <si>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</si>
  <si>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</si>
  <si>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</si>
  <si>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</si>
  <si>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</si>
  <si>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</si>
  <si>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</si>
  <si>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</si>
  <si>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</si>
  <si>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</si>
  <si>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</si>
  <si>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</si>
  <si>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</si>
  <si>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</si>
  <si>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</si>
  <si>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</si>
  <si>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</si>
  <si>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</si>
  <si>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</si>
  <si>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</si>
  <si>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</si>
  <si>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</si>
  <si>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</si>
  <si>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</si>
  <si>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</si>
  <si>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</si>
  <si>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</si>
  <si>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</si>
  <si>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</si>
  <si>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</si>
  <si>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</si>
  <si>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</si>
  <si>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</si>
  <si>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</si>
  <si>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</si>
  <si>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</si>
  <si>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</si>
  <si>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</si>
  <si>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</si>
  <si>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</si>
  <si>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</si>
  <si>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</si>
  <si>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</si>
  <si>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</si>
  <si>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</si>
  <si>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</si>
  <si>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</si>
  <si>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</si>
  <si>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</si>
  <si>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</si>
  <si>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</si>
  <si>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</si>
  <si>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</si>
  <si>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</si>
  <si>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</si>
  <si>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</si>
  <si>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</si>
  <si>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</si>
  <si>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</si>
  <si>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</si>
  <si>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</si>
  <si>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</si>
  <si>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</si>
  <si>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</si>
  <si>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</si>
  <si>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</si>
  <si>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</si>
  <si>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</si>
  <si>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</si>
  <si>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</si>
  <si>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</si>
  <si>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</si>
  <si>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</si>
  <si>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</si>
  <si>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</si>
  <si>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</si>
  <si>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</si>
  <si>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</si>
  <si>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</si>
  <si>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</si>
  <si>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</si>
  <si>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</si>
  <si>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</si>
  <si>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</si>
  <si>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</si>
  <si>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</si>
  <si>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</si>
  <si>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</si>
  <si>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</si>
  <si>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</si>
  <si>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</si>
  <si>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</si>
  <si>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</si>
  <si>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</si>
  <si>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</si>
  <si>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</si>
  <si>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</si>
  <si>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</si>
  <si>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</si>
  <si>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</si>
  <si>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</si>
  <si>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</si>
  <si>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</si>
  <si>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</si>
  <si>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</si>
  <si>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</si>
  <si>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</si>
  <si>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</si>
  <si>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</si>
  <si>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</si>
  <si>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</si>
  <si>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(B4081)</t>
  </si>
  <si>
    <t>ebből: hitelviszonyt megtestesítő értékpapírok értékesítési nyeresége (B4081)</t>
  </si>
  <si>
    <t>ebből: államháztartáson belül (B4082)</t>
  </si>
  <si>
    <t>ebből: fedezeti ügyletek kamatbevételei (B4082)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</si>
  <si>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</si>
  <si>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</si>
  <si>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</si>
  <si>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</si>
  <si>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</si>
  <si>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</si>
  <si>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</si>
  <si>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</si>
  <si>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</si>
  <si>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</si>
  <si>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</si>
  <si>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</si>
  <si>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</si>
  <si>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</si>
  <si>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</si>
  <si>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</si>
  <si>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</si>
  <si>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</si>
  <si>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</si>
  <si>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</si>
  <si>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</si>
  <si>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</si>
  <si>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</si>
  <si>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</si>
  <si>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</si>
  <si>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</si>
  <si>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</si>
  <si>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</si>
  <si>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</si>
  <si>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</si>
  <si>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</si>
  <si>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</si>
  <si>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</si>
  <si>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</si>
  <si>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</si>
  <si>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</si>
  <si>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</si>
  <si>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</si>
  <si>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</si>
  <si>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</si>
  <si>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</si>
  <si>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</si>
  <si>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</si>
  <si>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</si>
  <si>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</si>
  <si>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</si>
  <si>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</si>
  <si>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</si>
  <si>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</si>
  <si>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</si>
  <si>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</si>
  <si>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</si>
  <si>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</si>
  <si>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</si>
  <si>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</si>
  <si>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</si>
  <si>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</si>
  <si>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</si>
  <si>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</si>
  <si>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</si>
  <si>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</si>
  <si>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</si>
  <si>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</si>
  <si>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</si>
  <si>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</si>
  <si>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</si>
  <si>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</si>
  <si>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</si>
  <si>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</si>
  <si>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</si>
  <si>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</si>
  <si>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</si>
  <si>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</si>
  <si>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B1-7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</si>
  <si>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</si>
  <si>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</si>
  <si>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</si>
  <si>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</si>
  <si>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</si>
  <si>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</si>
  <si>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</si>
  <si>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</si>
  <si>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</si>
  <si>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</si>
  <si>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</si>
  <si>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</si>
  <si>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</si>
  <si>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</si>
  <si>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</si>
  <si>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</si>
  <si>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</si>
  <si>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</si>
  <si>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</si>
  <si>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</si>
  <si>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</si>
  <si>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</si>
  <si>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</si>
  <si>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</si>
  <si>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</si>
  <si>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Váltóbevételek (B84)</t>
  </si>
  <si>
    <t>B8</t>
  </si>
  <si>
    <t>BUDAPEST I. KERÜLET
BUDAVÁRI ÖNKORMÁNYZAT</t>
  </si>
  <si>
    <t>BUDAPEST I. KERÜLET BUDAVÁRI ÖNKORMÁNYZAT
EGÉSZSÉGÜGYI SZOLGÁLATA FT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</si>
  <si>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</si>
  <si>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</si>
  <si>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</si>
  <si>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</si>
  <si>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</si>
  <si>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</si>
  <si>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</si>
  <si>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</si>
  <si>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</si>
  <si>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</si>
  <si>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</si>
  <si>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</si>
  <si>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ebből:biztosítási díjak (K1113)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</si>
  <si>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</si>
  <si>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</si>
  <si>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</si>
  <si>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</si>
  <si>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</si>
  <si>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</si>
  <si>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</si>
  <si>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</si>
  <si>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</si>
  <si>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</si>
  <si>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</si>
  <si>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</si>
  <si>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</si>
  <si>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</si>
  <si>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</si>
  <si>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</si>
  <si>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</si>
  <si>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</si>
  <si>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ebből: államháztartáson belül (K335)</t>
  </si>
  <si>
    <t>Szakmai tevékenységet segítő szolgáltatások  (K336)</t>
  </si>
  <si>
    <t>ebből: biztosítási díjak (K337)</t>
  </si>
  <si>
    <t>Kiküldetések kiadásai (K341)</t>
  </si>
  <si>
    <t>Reklám- és propagandakiadások (K342)</t>
  </si>
  <si>
    <t>Működési célú előzetesen felszámított általános forgalmi adó (K351)</t>
  </si>
  <si>
    <t>Fizetendő általános forgalmi adó  (K352)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</si>
  <si>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</si>
  <si>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</si>
  <si>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</si>
  <si>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</si>
  <si>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Társadalombiztosítási ellátások (K41)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</si>
  <si>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</si>
  <si>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</si>
  <si>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</si>
  <si>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</si>
  <si>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</si>
  <si>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</si>
  <si>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</si>
  <si>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</si>
  <si>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</si>
  <si>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</si>
  <si>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</si>
  <si>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</si>
  <si>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</si>
  <si>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</si>
  <si>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</si>
  <si>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</si>
  <si>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</si>
  <si>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</si>
  <si>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</si>
  <si>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</si>
  <si>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</si>
  <si>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</si>
  <si>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</si>
  <si>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</si>
  <si>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</si>
  <si>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</si>
  <si>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</si>
  <si>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</si>
  <si>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</si>
  <si>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</si>
  <si>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</si>
  <si>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</si>
  <si>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</si>
  <si>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</si>
  <si>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</si>
  <si>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</si>
  <si>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</si>
  <si>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</si>
  <si>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</si>
  <si>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</si>
  <si>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</si>
  <si>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</si>
  <si>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</si>
  <si>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</si>
  <si>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</si>
  <si>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</si>
  <si>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</si>
  <si>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</si>
  <si>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</si>
  <si>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</si>
  <si>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</si>
  <si>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</si>
  <si>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</si>
  <si>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</si>
  <si>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</si>
  <si>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</si>
  <si>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</si>
  <si>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</si>
  <si>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</si>
  <si>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</si>
  <si>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</si>
  <si>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</si>
  <si>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</si>
  <si>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</si>
  <si>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</si>
  <si>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</si>
  <si>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</si>
  <si>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</si>
  <si>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</si>
  <si>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</si>
  <si>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</si>
  <si>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</si>
  <si>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</si>
  <si>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</si>
  <si>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</si>
  <si>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</si>
  <si>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</si>
  <si>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</si>
  <si>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</si>
  <si>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</si>
  <si>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</si>
  <si>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</si>
  <si>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</si>
  <si>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</si>
  <si>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</si>
  <si>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</si>
  <si>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</si>
  <si>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</si>
  <si>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</si>
  <si>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</si>
  <si>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</si>
  <si>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</si>
  <si>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</si>
  <si>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</si>
  <si>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</si>
  <si>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</si>
  <si>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</si>
  <si>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</si>
  <si>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</si>
  <si>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</si>
  <si>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</si>
  <si>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</si>
  <si>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</si>
  <si>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</si>
  <si>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</si>
  <si>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</si>
  <si>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</si>
  <si>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</si>
  <si>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</si>
  <si>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</si>
  <si>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</si>
  <si>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</si>
  <si>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</si>
  <si>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</si>
  <si>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</si>
  <si>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</si>
  <si>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</si>
  <si>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</si>
  <si>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</si>
  <si>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</si>
  <si>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ebből: általános tartalék (K513)</t>
  </si>
  <si>
    <t>ebből: céltartalék (K513)</t>
  </si>
  <si>
    <t xml:space="preserve">MŰKÖDÉSI CÉLÚ KIADÁSOK </t>
  </si>
  <si>
    <t>K1-5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</si>
  <si>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</si>
  <si>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</si>
  <si>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</si>
  <si>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</si>
  <si>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</si>
  <si>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</si>
  <si>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</si>
  <si>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</si>
  <si>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</si>
  <si>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</si>
  <si>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</si>
  <si>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</si>
  <si>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</si>
  <si>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</si>
  <si>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</si>
  <si>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</si>
  <si>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</si>
  <si>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</si>
  <si>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</si>
  <si>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</si>
  <si>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</si>
  <si>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</si>
  <si>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</si>
  <si>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</si>
  <si>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</si>
  <si>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</si>
  <si>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</si>
  <si>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</si>
  <si>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</si>
  <si>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</si>
  <si>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</si>
  <si>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</si>
  <si>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</si>
  <si>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</si>
  <si>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</si>
  <si>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</si>
  <si>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</si>
  <si>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</si>
  <si>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</si>
  <si>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</si>
  <si>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</si>
  <si>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</si>
  <si>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</si>
  <si>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</si>
  <si>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</si>
  <si>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</si>
  <si>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</si>
  <si>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</si>
  <si>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</si>
  <si>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</si>
  <si>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</si>
  <si>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</si>
  <si>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</si>
  <si>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</si>
  <si>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</si>
  <si>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</si>
  <si>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</si>
  <si>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</si>
  <si>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</si>
  <si>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</si>
  <si>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</si>
  <si>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</si>
  <si>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</si>
  <si>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</si>
  <si>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</si>
  <si>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</si>
  <si>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</si>
  <si>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</si>
  <si>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</si>
  <si>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</si>
  <si>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</si>
  <si>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K1-8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</si>
  <si>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</si>
  <si>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</si>
  <si>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</si>
  <si>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</si>
  <si>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</si>
  <si>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</si>
  <si>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</si>
  <si>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</si>
  <si>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</si>
  <si>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</si>
  <si>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</si>
  <si>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</si>
  <si>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</si>
  <si>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</si>
  <si>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</si>
  <si>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</si>
  <si>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</si>
  <si>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</si>
  <si>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</si>
  <si>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</si>
  <si>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</si>
  <si>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</si>
  <si>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</si>
  <si>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</si>
  <si>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</si>
  <si>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</si>
  <si>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</si>
  <si>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</si>
  <si>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</si>
  <si>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</si>
  <si>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</si>
  <si>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</si>
  <si>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</si>
  <si>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</si>
  <si>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</si>
  <si>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</si>
  <si>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K9</t>
  </si>
  <si>
    <t>2021. várható teljesítés</t>
  </si>
  <si>
    <t>ebből: óvadéki bankbetét</t>
  </si>
  <si>
    <t xml:space="preserve"> BUDAPEST I. KERÜLET BUDAVÁRI ÖNKORMÁNYZAT
2022. ÉVI ÖSSZEVONT KÖLTSÉGVETÉSI MÉRLEGE KÖZGAZDASÁGI TAGOLÁSBAN</t>
  </si>
  <si>
    <t>Munkaadót terhelő járulékok</t>
  </si>
  <si>
    <t>ebből: általános tartalék</t>
  </si>
  <si>
    <t>ebből: céltartalék</t>
  </si>
  <si>
    <t>ebből: betét lekötés</t>
  </si>
  <si>
    <t>ebből: betét  megszüntetése</t>
  </si>
  <si>
    <t>B83</t>
  </si>
  <si>
    <t>Adóssághoz nem kapcsolódó származékos ügyletek bevételei előirányzata</t>
  </si>
  <si>
    <t>K93</t>
  </si>
  <si>
    <t>Adóssághoz nem kapcsolódó származékos ügyletek kiadásai</t>
  </si>
  <si>
    <t>BUDAPEST I. KERÜLET BUDAVÁRI ÖNKORMÁNYZAT
ÖNKORMÁNYZAT BEVÉTELEI ÉS KIADÁSAI</t>
  </si>
  <si>
    <t>BUDAPEST I. KERÜLET BUDAVÁRI ÖNKORMÁNYZAT
INTÉZMÉNYEK BEVÉTELEI ÉS KIADÁSAI</t>
  </si>
  <si>
    <t>ebből: irányító szervi támogatások folyasítása</t>
  </si>
  <si>
    <t>Támogatások</t>
  </si>
  <si>
    <t>K506</t>
  </si>
  <si>
    <t xml:space="preserve">BRFK </t>
  </si>
  <si>
    <t>SNI-s gyermekek óvodai ellátása</t>
  </si>
  <si>
    <t>Sérült gyermekek napközi otthoni ellátása</t>
  </si>
  <si>
    <t>Gyermekek átmeneti otthoni ellátása</t>
  </si>
  <si>
    <t>nemzetiségi önkormányzatok</t>
  </si>
  <si>
    <t>összesen</t>
  </si>
  <si>
    <t>K512</t>
  </si>
  <si>
    <t>4 közalapítvány</t>
  </si>
  <si>
    <t>Aknázómoly elleni védekezés (lakossági támogatás)</t>
  </si>
  <si>
    <t>alapítványok, egyesületek</t>
  </si>
  <si>
    <t>Budapest Film Zrt</t>
  </si>
  <si>
    <t>Budavári Kulturális Nonprofit Kft</t>
  </si>
  <si>
    <t>Családi bölcsőde támogatása</t>
  </si>
  <si>
    <t>Egyházak támogatása</t>
  </si>
  <si>
    <t>Energiahatékonysági pályázat 2021</t>
  </si>
  <si>
    <t>Energiahatékonysági pályázat 2022</t>
  </si>
  <si>
    <t>Fiatalházasok lakásépítési támogatása</t>
  </si>
  <si>
    <t>Hajléktalanok támogatása MMSzSz</t>
  </si>
  <si>
    <t>I. kerületi Házgondnoksági Kft</t>
  </si>
  <si>
    <t>Kertszépítés pályázat 2021</t>
  </si>
  <si>
    <t>Kertszépítés pályázat 2022</t>
  </si>
  <si>
    <t>Klimapályázat iskolásoknak</t>
  </si>
  <si>
    <t>Közép-Budai Tankerület fejlesztésre</t>
  </si>
  <si>
    <t>Közép-Budai Tankerület gyógypedgógusok bére</t>
  </si>
  <si>
    <t>Lakosságnak bokrétafák injektálása, permetezése</t>
  </si>
  <si>
    <t>Nyári tábor</t>
  </si>
  <si>
    <t>Polgárőr, Önkéntes Tűzoltóság támogfatása</t>
  </si>
  <si>
    <t>Részvételi keret</t>
  </si>
  <si>
    <t>Társasházak hiteltámogatása</t>
  </si>
  <si>
    <t>Zöldfal pályázat 2022</t>
  </si>
  <si>
    <t>Kerékpárvásárlási támogatás fiataloknak</t>
  </si>
  <si>
    <t>Katasztrofavédelmi támogatás</t>
  </si>
  <si>
    <t>változás I.</t>
  </si>
  <si>
    <t>módosított előirányzat
 I.</t>
  </si>
  <si>
    <t>változás II.</t>
  </si>
  <si>
    <t>módosított előirányzat
 II.</t>
  </si>
  <si>
    <t>változás III.</t>
  </si>
  <si>
    <t>módosított előirányzat
 III.</t>
  </si>
  <si>
    <t>változás IV.</t>
  </si>
  <si>
    <t>módosított előirányzat
 IV.</t>
  </si>
  <si>
    <t>TARTALÉKOK ÖSSZESEN</t>
  </si>
  <si>
    <t>Általános tartalék</t>
  </si>
  <si>
    <t>Céltartalékok összesen</t>
  </si>
  <si>
    <t>sorszám</t>
  </si>
  <si>
    <t>Előkészítési céltartalékok</t>
  </si>
  <si>
    <t>Okosváros megoldások</t>
  </si>
  <si>
    <t>Vízivárosi forgalomcsökkentés Mária tér pilot projekt</t>
  </si>
  <si>
    <t>Új fakivágási rendelet</t>
  </si>
  <si>
    <t>EU-s pályázatok előkészítése</t>
  </si>
  <si>
    <t>Üzemeltetési céltartalékok</t>
  </si>
  <si>
    <t>FKF-vel külön megállapodás plusz takarításra</t>
  </si>
  <si>
    <t>Beruházási céltartalékok</t>
  </si>
  <si>
    <t>Bölcsőde fejlesztése - Dezső utca 8.</t>
  </si>
  <si>
    <t>Zsinagóga projekt</t>
  </si>
  <si>
    <t>Fiáth János utca macskakő burkolat felújításának tervezése</t>
  </si>
  <si>
    <t>Vári turizmust támogató beruházások</t>
  </si>
  <si>
    <t>Kerületi lakáscélú ingatlanállomány bővítése</t>
  </si>
  <si>
    <t>Mikromobilitási pontok létesítése</t>
  </si>
  <si>
    <t>Új kerületi nevezetességek, útvonal mutató táblák telepítése</t>
  </si>
  <si>
    <t>Támogatási céltartalékok</t>
  </si>
  <si>
    <t>Körzetes képviselői keret</t>
  </si>
  <si>
    <t>COVID és krízisalap</t>
  </si>
  <si>
    <t>Polgárőrség támogatás</t>
  </si>
  <si>
    <t>Járókelő.hu együttműködés</t>
  </si>
  <si>
    <t>Rendőrség támogatása (Kamera figyelés + túlóra)</t>
  </si>
  <si>
    <t>Katasztrófavédelem támogatása</t>
  </si>
  <si>
    <t>Támogatás a Közbiztonsági Közalapítványnak a Hónap rendőre címhez</t>
  </si>
  <si>
    <t>Zöldfalak kialakítására támogatás (növénnyel befuttatás, vadszőlő)</t>
  </si>
  <si>
    <t>Optikai kábel elhelyezése után maradt hibák kijavítása</t>
  </si>
  <si>
    <t>Társasházak felújítási célú támogatási keret</t>
  </si>
  <si>
    <t>Társadalmasítási céltartalékok</t>
  </si>
  <si>
    <t>Részvételi költségvetés</t>
  </si>
  <si>
    <t>Adventi vásár a Horváth-kertben</t>
  </si>
  <si>
    <t>Idősek napi program megrendezése vagy voucher</t>
  </si>
  <si>
    <t>Szemléletformáló utcai installációk a Horváth-kertbe</t>
  </si>
  <si>
    <t>Gyermeknapi játszótéri programok</t>
  </si>
  <si>
    <t>Kedvezményes növényvásárlási lehetőség a lakosság számára</t>
  </si>
  <si>
    <t>Intézményi céltartalékok</t>
  </si>
  <si>
    <t>Óvoda, bölcsőde informatikai eszközbeszerzési keret</t>
  </si>
  <si>
    <t>Feszty utcai hajléktalan-ellátó közterületi feladatainak támogatása</t>
  </si>
  <si>
    <t>Lakásügynökség létrehozása</t>
  </si>
  <si>
    <t>Egyéb céltartalékok</t>
  </si>
  <si>
    <t>Egyéb év közben felmerülő programok általános tartaléka</t>
  </si>
  <si>
    <t>Polgármesteri tartalék</t>
  </si>
  <si>
    <t>Turisztikai vonzerő növelő országos kampány</t>
  </si>
  <si>
    <t>Pszichoedukáció</t>
  </si>
  <si>
    <t>Testvértelepülési programok költségei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</si>
  <si>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</si>
  <si>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</si>
  <si>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</si>
  <si>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</si>
  <si>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</si>
  <si>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</si>
  <si>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</si>
  <si>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</si>
  <si>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</si>
  <si>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</si>
  <si>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</si>
  <si>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</si>
  <si>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</si>
  <si>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</si>
  <si>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</si>
  <si>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</si>
  <si>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</si>
  <si>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</si>
  <si>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ÖSSZESEN</t>
  </si>
  <si>
    <t>Egyéb tárgyi eszközök</t>
  </si>
  <si>
    <t>Budapest I. Kerület Budavári Önkormányzat</t>
  </si>
  <si>
    <t>Batthyány tér felszíni átalakítása (TÉR_KÖZ)</t>
  </si>
  <si>
    <t>Batthyány utcai iskola tornaterem kivitelezése</t>
  </si>
  <si>
    <t>Batthyány utcai iskola tornaterem kiviteli terve</t>
  </si>
  <si>
    <t>Csalogány utca 20-26 előtti tér közterületi fejlesztése</t>
  </si>
  <si>
    <t>Logodi utcai idősek otthona tervezés  - koncepcióterv</t>
  </si>
  <si>
    <t>Logodi utcai idősek otthona tervezés (engedélyezési- és kiviteli terv)</t>
  </si>
  <si>
    <t>Lovas út 11-12. alatti apartmanház tervezése</t>
  </si>
  <si>
    <t>Szabó Ilonka kutyafuttató</t>
  </si>
  <si>
    <t>Süllyedő pollerekhez kamera</t>
  </si>
  <si>
    <t xml:space="preserve">Szelektív gyűjtőszigetekhez kamera </t>
  </si>
  <si>
    <t>Városháza épület biztonsági beléptető rendszer létesítés</t>
  </si>
  <si>
    <t>Budavári - vári parkolóterminálok beszerzése 12</t>
  </si>
  <si>
    <t>Budavári - vári sorompóoszlop beszerzése</t>
  </si>
  <si>
    <t>Dendrológiai tanösvény tervezése, megvalósítása</t>
  </si>
  <si>
    <t>Horváth-kert fejlesztés</t>
  </si>
  <si>
    <t>Ivókutak, párakapuk létesítése</t>
  </si>
  <si>
    <t>Katasztrófavédelemmel kapcsolatos kiadások (az új raktár berendezése, felszerelése)</t>
  </si>
  <si>
    <t>Közterület ügyfélszolgálati iroda öltöző szekrény és infra fűtőpanel</t>
  </si>
  <si>
    <t>Levegőminőségmérő műszer (10 db)</t>
  </si>
  <si>
    <t>Naphegy tér fejlesztése</t>
  </si>
  <si>
    <t>Szentháromság téri zöldfelület megújítása (önerő)</t>
  </si>
  <si>
    <t>Szentháromság tér zöldterületi fejlesztése tervpályázat</t>
  </si>
  <si>
    <t>Térfigyelő kamerarendszer bővítésére</t>
  </si>
  <si>
    <r>
      <t xml:space="preserve">Utcabútorok, </t>
    </r>
    <r>
      <rPr>
        <sz val="11"/>
        <rFont val="Calibri"/>
        <family val="2"/>
        <charset val="238"/>
        <scheme val="minor"/>
      </rPr>
      <t>virágládák, táblák, pollerek, egyéb tárgyi eszk. beszerzése</t>
    </r>
  </si>
  <si>
    <t>7131 hrsz lépcső tartószerkezeti hibák megszüntetése, felújítás</t>
  </si>
  <si>
    <t>Budavári - Palota úti őrház felújítása</t>
  </si>
  <si>
    <t xml:space="preserve">Hunyadi úti park felújítása </t>
  </si>
  <si>
    <t>Közterületi lépcsők felmérése, felújítás ütemezés tervezése</t>
  </si>
  <si>
    <t xml:space="preserve">Közutakat, járdákat, közterületeket érintő forgalomtechnikai kis korrekciós beavatkozások kivitelezése </t>
  </si>
  <si>
    <r>
      <t xml:space="preserve">Közvilágítás kiépítés, </t>
    </r>
    <r>
      <rPr>
        <sz val="11"/>
        <rFont val="Calibri"/>
        <family val="2"/>
        <charset val="238"/>
        <scheme val="minor"/>
      </rPr>
      <t>energiahatékonyságot növelő korszerűsítés (BDK-val együttműködve)</t>
    </r>
  </si>
  <si>
    <t>Kutyafuttatók felújítása, fejlesztése</t>
  </si>
  <si>
    <t>Markovits utcai kazettás járdaszakasz rendezése</t>
  </si>
  <si>
    <t>Műemléki kőelemek rekonstr., pótl.</t>
  </si>
  <si>
    <t>Szeder lépcső és kutyafuttató környezet rendezése, felújítása</t>
  </si>
  <si>
    <t>Toldy Ferenc u. 25. parkoló rendbetétele</t>
  </si>
  <si>
    <t xml:space="preserve">Toldy Ferenc Gimnázium kapu felújítás </t>
  </si>
  <si>
    <t>Városháza épület földszint és emeleti kabinet átalakítása kivitelezés I. üteme</t>
  </si>
  <si>
    <t>Városháza épület földszint és emeleti kabinet átalakítása tervezés</t>
  </si>
  <si>
    <t>Városháza épület gépészeti felújítása kivitelezés</t>
  </si>
  <si>
    <t>Városháza épület gépészeti felújítása tervezés</t>
  </si>
  <si>
    <t>Városháza épület tetőfelújítása</t>
  </si>
  <si>
    <t xml:space="preserve">Budapest Főváros I. Kerület Budavári Polgármesteri Hivatal </t>
  </si>
  <si>
    <t>Session rendszer beszerzése</t>
  </si>
  <si>
    <t>2 db szolgálati gépjármű vásárlása</t>
  </si>
  <si>
    <t>közterület dolgozói részére telefonkészülékek beszerzése (létszám bővítés és elhasználódás miatt)</t>
  </si>
  <si>
    <t>Hivatali beruházások (irodák kialakítása)</t>
  </si>
  <si>
    <t>Informatikai eszközök beszerzési kerete</t>
  </si>
  <si>
    <t>Egyéb tárgyi eszközök beszerzése</t>
  </si>
  <si>
    <t>Épület felújítás</t>
  </si>
  <si>
    <t>Informatikai eszközök felújítása</t>
  </si>
  <si>
    <t>Egyéb tárgyieszközök felújítása</t>
  </si>
  <si>
    <t>Budapest I. kerület Budavári Önkormányzat Egészségügyi Szolgálata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</si>
  <si>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</si>
  <si>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</si>
  <si>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</si>
  <si>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</si>
  <si>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</si>
  <si>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</si>
  <si>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</si>
  <si>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</si>
  <si>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</si>
  <si>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</si>
  <si>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</si>
  <si>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</si>
  <si>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Szemészet - Öltöző szekrény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</si>
  <si>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</si>
  <si>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</si>
  <si>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</si>
  <si>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</si>
  <si>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</si>
  <si>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</si>
  <si>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</si>
  <si>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</si>
  <si>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</si>
  <si>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</si>
  <si>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</si>
  <si>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</si>
  <si>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</si>
  <si>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Csalogány u. háziorvosi rendelő</t>
  </si>
  <si>
    <t>Attila u. háziorvosi rendelő - felújítás miatti bútorcsere</t>
  </si>
  <si>
    <t>Kisértékű tárgyi eszközök (lista a szöveges indoklásban)</t>
  </si>
  <si>
    <t>Budapest I. kerület Budavári Önkormányzat GAMESZ</t>
  </si>
  <si>
    <t>Dísz tér 03. - homlokzati nyílászárók felújítása/cseréje</t>
  </si>
  <si>
    <t>Úri utca 8. (Tóth Á. Sétány felőli) - homlokzati nyílászárók felújítása/cseréje</t>
  </si>
  <si>
    <t>Úri utca 14. (Tóth Á. Sétány felőli) - homlokzati nyílászárók felújítása/cseréje</t>
  </si>
  <si>
    <t>Úri utca 34. - udvari vízelveztés, burkolat cseréje</t>
  </si>
  <si>
    <t>Úri utca 32. (Tóth Á. Sétány felőli) - homlokzati nyílászárók felújítása/cseréje</t>
  </si>
  <si>
    <t>Úri utca 36. (Úri utcai) - homlokzati nyílászárók felújítása/cseréje</t>
  </si>
  <si>
    <t>Dísz tér 7. (Duna felőli) homlokzat és erkély felújítása</t>
  </si>
  <si>
    <t>Áthúzódó felújítások-beruházások</t>
  </si>
  <si>
    <t>Országház 9. irodaház kialakítás - felújítás I.-II. ütem</t>
  </si>
  <si>
    <t xml:space="preserve">Lovas u. 32. - külső homlokzat és nyílászárók felújítása </t>
  </si>
  <si>
    <t>Többfunkciós kistraktor (eszközökkel)</t>
  </si>
  <si>
    <t>Zamárdi üdülő</t>
  </si>
  <si>
    <t>Alsó kőház tetőcsere</t>
  </si>
  <si>
    <t>Gondnoki lakás felújítása</t>
  </si>
  <si>
    <t>Konyha felújítás</t>
  </si>
  <si>
    <t>Társalgó és homokozó fölé napernyő felszerelése</t>
  </si>
  <si>
    <t>Szobák ütemezett felújítása I. ütem</t>
  </si>
  <si>
    <t>Páraelszívó feleszerelése tusulókba</t>
  </si>
  <si>
    <t>Kőházak előterén hidegburkolat cseréje</t>
  </si>
  <si>
    <t>Udvari térburkolat javítása</t>
  </si>
  <si>
    <t>Kapu automatizálás</t>
  </si>
  <si>
    <t>Horány üdülő</t>
  </si>
  <si>
    <t>Vizesblokkok korszerűsítése, felújítása</t>
  </si>
  <si>
    <t>GAMESZ irodaház</t>
  </si>
  <si>
    <t>Irodaépület fogadó tér korszerűsítése</t>
  </si>
  <si>
    <t>Szélfogóba elektromos töltő telepítése</t>
  </si>
  <si>
    <t>Teraszra védőtető szerelése</t>
  </si>
  <si>
    <t>GAMESZ telephely</t>
  </si>
  <si>
    <t>Fedett gépkocsi parkoló létesítése</t>
  </si>
  <si>
    <t>Parkoló fölés napelemek telepítése</t>
  </si>
  <si>
    <t>LMP 340 dobozos kisteherautó cseréje</t>
  </si>
  <si>
    <t>Automata tűzoltórendszer a szerverszobához</t>
  </si>
  <si>
    <t>Fiat Ducato tehergépkocsi (2 db)</t>
  </si>
  <si>
    <t>Mosó egységek, tartály, ponyva (munkaeszközök) felszereléssel (4 db)</t>
  </si>
  <si>
    <t>Mathieu Azura kommunális seprőgép</t>
  </si>
  <si>
    <t>Elektromos seprő-felszívógép (Tenant 500 ZE)</t>
  </si>
  <si>
    <t>Tenax 1. 0 elektromos seprő-felszívógép</t>
  </si>
  <si>
    <t>Toyota Proace</t>
  </si>
  <si>
    <t>Önjáró elektromos hulladék szedőgép (Glutton vagy Tenant)</t>
  </si>
  <si>
    <t>Levegősűrítő kompresszor</t>
  </si>
  <si>
    <t>Áramfejlesztő TR13E</t>
  </si>
  <si>
    <t>Melegvizes mosó</t>
  </si>
  <si>
    <t>színes nyomtató WorkForce Pro WF-6590DTWFC (2 db)</t>
  </si>
  <si>
    <t>Kis értékű tárgyi eszközök</t>
  </si>
  <si>
    <t>Brunszvik Teréz Budavári Óvodák</t>
  </si>
  <si>
    <t xml:space="preserve">Nyárs u. 2.-4. </t>
  </si>
  <si>
    <t>egy csoportszoba felújítása</t>
  </si>
  <si>
    <t>lámpatestek cseréje</t>
  </si>
  <si>
    <t>óvodatitkári iroda felújítása (parketta, álmennyezet)</t>
  </si>
  <si>
    <t>kerítés cseréjének folytatása</t>
  </si>
  <si>
    <t xml:space="preserve">Iskola u. 44. </t>
  </si>
  <si>
    <t>Emeleti középső csoportszoba felújítása</t>
  </si>
  <si>
    <t>Tornaterem felújítása II. ütem</t>
  </si>
  <si>
    <t>2 db emeleti csoportszoba burkolat csere Magic Floor-ra</t>
  </si>
  <si>
    <t>földszinti 3 db csoportszobában motoros redőny felszerelése</t>
  </si>
  <si>
    <t>földszinti kis és középső csoportok öltözőinek teljes felújítása</t>
  </si>
  <si>
    <t>épület első bejáratánl terasz és lépcső elbontása, újáépítése</t>
  </si>
  <si>
    <t>kazánházi el. Elosztó átalakítása</t>
  </si>
  <si>
    <t>Toldy Ferenc u. 66.</t>
  </si>
  <si>
    <t>egy terem teljes felújítása</t>
  </si>
  <si>
    <t>radiátor burkolatok cseréje</t>
  </si>
  <si>
    <t>Mészáros u. 56/b</t>
  </si>
  <si>
    <t>öltözők, irodák, konyhák ablakaira redőny felszerelése</t>
  </si>
  <si>
    <t>logopédiai szoba padlóburkolat csere</t>
  </si>
  <si>
    <t>középső udvar. f.u. (csúszda, babaház, kosárlabda rögz.)</t>
  </si>
  <si>
    <t>harmadik emeleti zuhanyzó, wc felújítsa</t>
  </si>
  <si>
    <t>2. emeleti öltöző, konyha, iroda ablakaira redőny szerelése</t>
  </si>
  <si>
    <t>Tigris u. 58-60.</t>
  </si>
  <si>
    <t>személyzeti wc kialakítása, zuhanyzó felújítása</t>
  </si>
  <si>
    <t>udvari medence elbontása, helyének feltöltése</t>
  </si>
  <si>
    <t>udvari aszfalt burkolatra rekortán burkolás</t>
  </si>
  <si>
    <t>Dísz tér 3.</t>
  </si>
  <si>
    <t>konyha felújíátsa gépészettel</t>
  </si>
  <si>
    <t>gyermek vizesblokkok felújítása</t>
  </si>
  <si>
    <t>Lovas u. 3.</t>
  </si>
  <si>
    <t>külső homlokzaton lévő fényforrások cseréje</t>
  </si>
  <si>
    <t>főbejárati lépcsők felújítása</t>
  </si>
  <si>
    <t>felső szint konyhjának felújítása II. ütem</t>
  </si>
  <si>
    <t>felső szint közlekedő, öltöző felújítása</t>
  </si>
  <si>
    <t>alsó szint folyosó, öltöző felújítása</t>
  </si>
  <si>
    <t>felső szint folyosó, öltöző felújítása</t>
  </si>
  <si>
    <t>Nagy értékű tárgyi eszközök</t>
  </si>
  <si>
    <t>Laptop (5 db)</t>
  </si>
  <si>
    <t>Nyárs u.-csúszdás torony (udvari játék)</t>
  </si>
  <si>
    <t>Nyárs u.-babaház</t>
  </si>
  <si>
    <t>Nyárs u.-nevelői szoba könyvespolcok cseréje</t>
  </si>
  <si>
    <t>Mészáros u.-Udvari játék (fészekhinta)</t>
  </si>
  <si>
    <t>Lovas u.-Mosogatógép</t>
  </si>
  <si>
    <t>Dísz tér-óvodatitkári irodába polcok, szekrények</t>
  </si>
  <si>
    <t>Toldy F. u.-Udvari játék (torony)</t>
  </si>
  <si>
    <t>Iskola u.-színes fénymásoló</t>
  </si>
  <si>
    <t>Iskola u.-udvari játék (plutó egyensúlyozó)</t>
  </si>
  <si>
    <t>Iskola u.-szekrénysor logopédiai szobába</t>
  </si>
  <si>
    <t>Iskola u.-szekrénysor fejlesztő szobába</t>
  </si>
  <si>
    <t>Iskola u.-szekrénysor teraszra</t>
  </si>
  <si>
    <t>Kisértékű tárgyi eszközök</t>
  </si>
  <si>
    <t>Budavári Önkorm. Egyesített Bölcsődéje</t>
  </si>
  <si>
    <t>Iskola u. 22-24.</t>
  </si>
  <si>
    <t>Mosoda áttelepítése az alagsorba, emeleten tornaszoba kialakítása, két helység összenyitásával</t>
  </si>
  <si>
    <t>Gyermek vizesblokkok felújítása (3 db), csempézés, világítás, padlóburk. Csere</t>
  </si>
  <si>
    <t xml:space="preserve">Emeleti iroda felújítása </t>
  </si>
  <si>
    <t>4 db radiátor burkolat csere</t>
  </si>
  <si>
    <t>Teljes padlóburkolat csere</t>
  </si>
  <si>
    <t>Acélszerkezetű polikarbonát előtető a teraszon</t>
  </si>
  <si>
    <t>közös lépcsőházban lépcsőfokok felújítása</t>
  </si>
  <si>
    <t>Tigris u. 45/a</t>
  </si>
  <si>
    <t>Épület melletti lépcső felújítása</t>
  </si>
  <si>
    <t>Játszóudvar gumitéglák cseréje öntött gumira</t>
  </si>
  <si>
    <t>konyhai-hulladék örlő/megsemmisítő</t>
  </si>
  <si>
    <t>Kismodul készlet-mozgásfejlesztő (4 db)</t>
  </si>
  <si>
    <t>Irodabútorok cseréje (vezetői iroda, vez. helyettesi iroda, szülői fogadó)</t>
  </si>
  <si>
    <t>Laptop (3 db)</t>
  </si>
  <si>
    <t>kisértékű tárgyi eszközök</t>
  </si>
  <si>
    <t>Budavári Szociális és Gyermekjóléti Szolgáltatási Központ</t>
  </si>
  <si>
    <t>Családsegítő Szolgálat (Attila u. 89.)</t>
  </si>
  <si>
    <t>családsegítő szoba vizesedés megszűntetése</t>
  </si>
  <si>
    <t>Split klíma kiépítése</t>
  </si>
  <si>
    <t>pincei vizesedés megszüntetése</t>
  </si>
  <si>
    <t>hátsó iroda mennyezeti vakolat felújítása</t>
  </si>
  <si>
    <t>Gondozási Központ (Attila u. 8.)</t>
  </si>
  <si>
    <t>szomszéd helység egybenyitása II. ütem</t>
  </si>
  <si>
    <t>Split klíma kiépítése a társalgóba</t>
  </si>
  <si>
    <t>II. sz. Idősek Klubja (Roham u. 7.)</t>
  </si>
  <si>
    <t>lmpatestek cseréje LED-re</t>
  </si>
  <si>
    <t>III. sz. Idősek Klubja (Fő u. 31.)</t>
  </si>
  <si>
    <t>klubterem salétromos fal felújítása</t>
  </si>
  <si>
    <t>galériában vil.testek cseréje</t>
  </si>
  <si>
    <t>Klíma-gondozási kp nagytermébe</t>
  </si>
  <si>
    <t>Klíma-családsegítő szolg. Irodába</t>
  </si>
  <si>
    <t>Czakó utcai Sport- és Szabadidőközpont</t>
  </si>
  <si>
    <t>Teniszpálya és műfüves pálya világítás korszerűsítés</t>
  </si>
  <si>
    <t>Központi épület hátsó rész világítás kiépítése</t>
  </si>
  <si>
    <t>Kapuügyeleti kis faház</t>
  </si>
  <si>
    <t>két iroda és műhely világítás korszerűsítés</t>
  </si>
  <si>
    <t>kaputól a közösségi épületig térköves út készítése</t>
  </si>
  <si>
    <t>esővíz gyűjtéshez tartályok, szivattyú (gazdaságos locsoláshoz)</t>
  </si>
  <si>
    <t>Irodai páncélszekrény</t>
  </si>
  <si>
    <t xml:space="preserve">Kis értékű tárgyi eszközök </t>
  </si>
  <si>
    <t>Budavári Művelődési Ház</t>
  </si>
  <si>
    <t>4 új számítógép, 200 000/db</t>
  </si>
  <si>
    <t>Monitoring rendszer továbbfejlesztése</t>
  </si>
  <si>
    <t>Projektszakértők</t>
  </si>
  <si>
    <t xml:space="preserve">Bölcsőde felújítási pályázat önerő </t>
  </si>
  <si>
    <t>Márai Sándor Kulturális Közalapítvány, 1944-1945. ostromnapló kiadásának támogatása</t>
  </si>
  <si>
    <t>Rovat megnevezése</t>
  </si>
  <si>
    <t>2021. évi várható teljesítés</t>
  </si>
  <si>
    <t>2022. évi tervezett előirányzat</t>
  </si>
  <si>
    <t>MS licenszek</t>
  </si>
  <si>
    <t xml:space="preserve"> </t>
  </si>
  <si>
    <t>Szilágyi Dezső tér 4. felújítása</t>
  </si>
  <si>
    <t>K510</t>
  </si>
  <si>
    <t>Kamattámogatások</t>
  </si>
  <si>
    <t>Műküdési célú támogatások ÁHT-n belül</t>
  </si>
  <si>
    <t>Oltóanyag támogatás lakosságnak</t>
  </si>
  <si>
    <t>Műküdési célú támogatások ÁHT-n kívül</t>
  </si>
  <si>
    <t>Bursa Hungarica</t>
  </si>
  <si>
    <t>K89</t>
  </si>
  <si>
    <t>Budavári Lakásügynökség Nonprofit Kft</t>
  </si>
  <si>
    <t>BUJSz Nonprofit Kft</t>
  </si>
  <si>
    <t xml:space="preserve">Közép-Budai Tankerületi Központ (közüzemi díjak, utazó gyógypedagógusok költségei)- 2019-2021 </t>
  </si>
  <si>
    <t>Önkormányzatok működési támogatásai (B11)</t>
  </si>
  <si>
    <t>Egyéb működési célú támogatások bevételei államháztartáson belülről  (B16)</t>
  </si>
  <si>
    <t>Települési önkormányzatok szociális, gyermekjóléti  és gyermekétkeztetési feladatainak támogatása  (B113)</t>
  </si>
  <si>
    <t>Működési célú támogatások államháztartáson belülről  (B1)</t>
  </si>
  <si>
    <t>Egyéb felhalmozási célú támogatások bevételei államháztartáson belülről (B25)</t>
  </si>
  <si>
    <t>Felhalmozási célú támogatások államháztartáson belülről (B2)</t>
  </si>
  <si>
    <t>Vagyoni tipusú adók  (B34)</t>
  </si>
  <si>
    <t>Értékesítési és forgalmi adók  (B351)</t>
  </si>
  <si>
    <t>Egyéb áruhasználati és szolgáltatási adók   (B355)</t>
  </si>
  <si>
    <t>Termékek és szolgáltatások adói  (B35)</t>
  </si>
  <si>
    <t>Egyéb közhatalmi bevételek (B36)</t>
  </si>
  <si>
    <t>Közhatalmi bevételek  (B3)</t>
  </si>
  <si>
    <t>Szolgáltatások ellenértéke  (B402)</t>
  </si>
  <si>
    <t>Közvetített szolgáltatások ellenértéke  (B403)</t>
  </si>
  <si>
    <t>Tulajdonosi bevételek  (B404)</t>
  </si>
  <si>
    <t>Befektetett pénzügyi eszközökből származó bevételek (B4081)</t>
  </si>
  <si>
    <t>Egyéb kapott (járó) kamatok és kamatjellegű bevételek  (B4082)</t>
  </si>
  <si>
    <t>Kamatbevételek és más nyereségjellegű bevételek  (B408)</t>
  </si>
  <si>
    <t>Működési bevételek  (B4)</t>
  </si>
  <si>
    <t>Költségvetési bevételek (B1-B7)</t>
  </si>
  <si>
    <t>Maradvány igénybevétele  (B813)</t>
  </si>
  <si>
    <t>Tulajdonosi kölcsönök bevételei  (B819)</t>
  </si>
  <si>
    <t>Belföldi finanszírozás bevételei  (B81)</t>
  </si>
  <si>
    <t>Külföldi finanszírozás bevételei (B82)</t>
  </si>
  <si>
    <t>Foglalkoztatottak egyéb személyi juttatásai  (K1113)</t>
  </si>
  <si>
    <t>Foglalkoztatottak személyi juttatásai  (K11)</t>
  </si>
  <si>
    <t>Külső személyi juttatások  (K12)</t>
  </si>
  <si>
    <t>Személyi juttatások (K1)</t>
  </si>
  <si>
    <t>Munkaadókat terhelő járulékok és szociális hozzájárulási adó  (K2)</t>
  </si>
  <si>
    <t>Készletbeszerzés  (K31)</t>
  </si>
  <si>
    <t>Kommunikációs szolgáltatások (K32)</t>
  </si>
  <si>
    <t>Közvetített szolgáltatások   (K335)</t>
  </si>
  <si>
    <t>Egyéb szolgáltatások  (K337)</t>
  </si>
  <si>
    <t>Szolgáltatási kiadások  (K33)</t>
  </si>
  <si>
    <t>Kiküldetések, reklám- és propagandakiadások  (K34)</t>
  </si>
  <si>
    <t>Kamatkiadások  (K353)</t>
  </si>
  <si>
    <t>Egyéb pénzügyi műveletek kiadásai  (K354)</t>
  </si>
  <si>
    <t>Különféle befizetések és egyéb dologi kiadások (K35)</t>
  </si>
  <si>
    <t>Dologi kiadások  (K3)</t>
  </si>
  <si>
    <t>Családi támogatások (K42)</t>
  </si>
  <si>
    <t>Lakhatással kapcsolatos ellátások  (K46)</t>
  </si>
  <si>
    <t>Egyéb nem intézményi ellátások  (K48)</t>
  </si>
  <si>
    <t>Ellátottak pénzbeli juttatásai  (K4)</t>
  </si>
  <si>
    <t>Nemzetközi kötelezettségek (K501)</t>
  </si>
  <si>
    <t>Elvonások és befizetések  (K502)</t>
  </si>
  <si>
    <t>Egyéb működési célú támogatások államháztartáson belülre (K506)</t>
  </si>
  <si>
    <t>Egyéb működési célú támogatások államháztartáson kívülre  (K512)</t>
  </si>
  <si>
    <t>Egyéb működési célú kiadások (K5)</t>
  </si>
  <si>
    <t>Beruházások  (K6)</t>
  </si>
  <si>
    <t>Felújítások  (K7)</t>
  </si>
  <si>
    <t>Felhalmozási célú visszatérítendő támogatások, kölcsönök nyújtása államháztartáson kívülre  (K86)</t>
  </si>
  <si>
    <t>Egyéb felhalmozási célú támogatások államháztartáson kívülre  (K89)</t>
  </si>
  <si>
    <t>Egyéb felhalmozási célú kiadások (K8)</t>
  </si>
  <si>
    <t>Költségvetési kiadások (K1-K8)</t>
  </si>
  <si>
    <t>Belföldi értékpapírok kiadásai  (K912)</t>
  </si>
  <si>
    <t>Tulajdonosi kölcsönök kiadásai (K919)</t>
  </si>
  <si>
    <t>Belföldi finanszírozás kiadásai (K91)</t>
  </si>
  <si>
    <t>Finanszírozási kiadások  (K9)</t>
  </si>
  <si>
    <t xml:space="preserve">2019. évi bevételi teljesítés </t>
  </si>
  <si>
    <t>2019. évi kiadási teljesítés</t>
  </si>
  <si>
    <t>2020. évi bevételi teljesítés</t>
  </si>
  <si>
    <t>2020. évi kiadási teljesítés</t>
  </si>
  <si>
    <t>2022. évi bevételi előirányzat</t>
  </si>
  <si>
    <t>2022. évi kiadási előirányzat</t>
  </si>
  <si>
    <t>A)</t>
  </si>
  <si>
    <t>BEVÉTELEK FORRÁSONKÉNT</t>
  </si>
  <si>
    <t>I.</t>
  </si>
  <si>
    <t>MŰKÖDÉSI KÖLTSÉGVETÉSI BEVÉTELEK</t>
  </si>
  <si>
    <t>1.1. Tulajdonosi bevételek</t>
  </si>
  <si>
    <t>1.2. Kiszámlázott általános forgalmi adó</t>
  </si>
  <si>
    <t>1.3. Szolgáltatás bevétele</t>
  </si>
  <si>
    <t>II.</t>
  </si>
  <si>
    <t>FELHALMOZÁSI BEVÉTELEK</t>
  </si>
  <si>
    <t>Önkormányzat által biztosított forrás</t>
  </si>
  <si>
    <t>KÖLTSÉGVETÉSI BEVÉTELEK ÖSSZESEN</t>
  </si>
  <si>
    <t>III.</t>
  </si>
  <si>
    <t>FINANSZÍROZÁSI BEVÉTELEK</t>
  </si>
  <si>
    <t xml:space="preserve"> Belföldi finanszírozás bevételei</t>
  </si>
  <si>
    <t>1.1. Maradvány igénybevétele</t>
  </si>
  <si>
    <t>B)</t>
  </si>
  <si>
    <t>KIADÁSOK JOGCÍMENKÉNT ÉS FELADATONKÉNT</t>
  </si>
  <si>
    <t>IV.</t>
  </si>
  <si>
    <t>MŰKÖDÉSI KÖLTSÉGVETÉSI KIADÁSOK</t>
  </si>
  <si>
    <t>Tartalékok</t>
  </si>
  <si>
    <t>Környezetvédelmi Alap céltartaléka</t>
  </si>
  <si>
    <t>Egyéb kiadás</t>
  </si>
  <si>
    <t>V.</t>
  </si>
  <si>
    <t>FELHALMOZÁSI KÖLTSÉGVETÉSI KIADÁSOK</t>
  </si>
  <si>
    <t xml:space="preserve">Tartalékok </t>
  </si>
  <si>
    <t>KÖLTSÉGVETÉSI KIADÁSOK ÖSSZESEN</t>
  </si>
  <si>
    <t>VI.</t>
  </si>
  <si>
    <t>FINANSZÍROZÁSI KIADÁSOK</t>
  </si>
  <si>
    <t>(bruttó e Ft)</t>
  </si>
  <si>
    <t>a)</t>
  </si>
  <si>
    <t>Budavári klímastratégia felülvizsgálat</t>
  </si>
  <si>
    <t>b)</t>
  </si>
  <si>
    <t>35 literes hulladékgyűjtőkre fedél készíttetése</t>
  </si>
  <si>
    <t>Hulladékgyűjtők, kutyaszemetesek és szemetes zsákok (környezetbarát lebomló) beszerzése</t>
  </si>
  <si>
    <t>Veszélyes hulladékgyűjtés, illegális hulladékok, sitt elszállítása</t>
  </si>
  <si>
    <t>Kutyapiszok gyűjtő bővítés telepítéssel (15 darab)</t>
  </si>
  <si>
    <t>Csikkgyűjtő a forgalmas helyeken lévő szelektív hulladékgyűjtők mellé telepítéssel (20 darab)</t>
  </si>
  <si>
    <t>Szelektív gyűjtőkre új jelölő tábla</t>
  </si>
  <si>
    <t>Komposztkeret 50 darab</t>
  </si>
  <si>
    <t>c)</t>
  </si>
  <si>
    <t>Biológiai szúnyoggyérítés</t>
  </si>
  <si>
    <t>d)</t>
  </si>
  <si>
    <t>2. pontossági osztályú zajmérőműszer</t>
  </si>
  <si>
    <t>e)</t>
  </si>
  <si>
    <t>Kertszépítés pályázat</t>
  </si>
  <si>
    <t>30 000</t>
  </si>
  <si>
    <t>Játszótereken öntözőzsákok telepítése, hogy a környezeti nevelés már kis korban elkezdődjön.</t>
  </si>
  <si>
    <t>Öntözőrendszerek tervezése, létesítése  (automata csepegtető rendszer, vagy olyan tartályos jármű beszerzése amivel a kerületi fákat lehetne öntözni, ezáltal a kiszáradás ellen védenénk)</t>
  </si>
  <si>
    <t>Egynyári és évelő növények lakossági közösségi kültetésre</t>
  </si>
  <si>
    <t>Zöldfal pályázat</t>
  </si>
  <si>
    <t>f)</t>
  </si>
  <si>
    <t>Víztakarékos perlátor az önkormányzat épületébe (Budapest, Kapisztrán tér 1.)  (30 darab) (felhasznált vízmennyiség csökkentésére, mely a csatornadíj csökkenésében is detektálható)</t>
  </si>
  <si>
    <t>Reformációs emlékkút vízforgatóval felszerelés tervezése és a tervek alapján a megvalósítás (5 000 e Ft + 10 000 e Ft)</t>
  </si>
  <si>
    <t>g)</t>
  </si>
  <si>
    <t>Zeolit síkosságmentesítéshez lakosság részére</t>
  </si>
  <si>
    <t>h)</t>
  </si>
  <si>
    <t>Tabán meglévő tanösvény felújítása</t>
  </si>
  <si>
    <t>Zöld Budavár alhonlap kialakítás lakossági fenntarthatósági szemléletformálás céljára</t>
  </si>
  <si>
    <t>Kitűzőgyártó gép beszerzése alkatrészekkel lakossági/iskolai szemléletformáláshoz. Zöld jeles napokhoz köthető üzenetek kerülnek a kitűzőre. Az iskolai pályázatok során az iskolások maguk készítik el a zöld  üzenetet tartalmazó grafikát. A grafikával készült kitűzőt hordhatják, az iskolában diákoknak, tanároknak adhatják. Családtagjaik részére is készíthetnek kitűzőt, ezzel megsokszorozva azoknak a számát, akikhez az üzenet eljut.</t>
  </si>
  <si>
    <t>Hőkamera beszerzése (1 db) hőveszteség kimutatására, illetve energetikai korszerűsítés eredményének igazolására (mobil kamera, tetszőleges helyszínen mérhető az épületek hővesztesége, ennek alapján a szigetelés pontos helyének kiválasztása könnyebbé válik. A szigetelés utáni hőkép elkészítésével lehet szemléltetni a szigetelés fontosságát.)</t>
  </si>
  <si>
    <t>Klímabarát Települések Szövetsége tagdíj</t>
  </si>
  <si>
    <t>i)</t>
  </si>
  <si>
    <t>Fenntarthatósági pályázat általános és középiskola</t>
  </si>
  <si>
    <t>j)</t>
  </si>
  <si>
    <r>
      <t>LE</t>
    </r>
    <r>
      <rPr>
        <sz val="10"/>
        <color rgb="FF000000"/>
        <rFont val="Arial"/>
        <family val="2"/>
        <charset val="238"/>
      </rPr>
      <t>D izzók az önkormányzat épületébe (kb. 300 db) az önkormányzati épület energiafogyasztásának, és CO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 xml:space="preserve"> kibocsátásának csökkentése céljából (Budapest, Kapisztrán tér 1.)</t>
    </r>
  </si>
  <si>
    <t>Kisállat ivartalanítás lakosság részére (kutya, macska)</t>
  </si>
  <si>
    <t>Favizsgálat (kb. 20-30 fa)</t>
  </si>
  <si>
    <t>Környezetvédelmi Program 2022-2027 elkészítése</t>
  </si>
  <si>
    <t xml:space="preserve">Energiahatékonysági tanácsadó iroda létrehozása, működtetése (heti 1x-i konzultáció) </t>
  </si>
  <si>
    <t>Energiahatékonysági kiadvány összeállítása, nyomtatása</t>
  </si>
  <si>
    <t>Összesen:</t>
  </si>
  <si>
    <t>K312</t>
  </si>
  <si>
    <t>K355</t>
  </si>
  <si>
    <t>K321</t>
  </si>
  <si>
    <t>Csikkgyűjtő (20 db) szelektív gyűjtők mellé - KVA</t>
  </si>
  <si>
    <t>K337</t>
  </si>
  <si>
    <t>Reformációs emlékkút átalakítása víztakarékos üzemeltetésre - KVA</t>
  </si>
  <si>
    <t>Dendrológiai tanösvény tervezése, megvalósítása - KVA</t>
  </si>
  <si>
    <t>Levegőminőségmérő műszer (10 db) - KVA</t>
  </si>
  <si>
    <t>Hőkamera beszerzés - KVA</t>
  </si>
  <si>
    <t>Zajmérőműszer beszerzése - KVA</t>
  </si>
  <si>
    <t>Tabáni tanösvény felújítás - KVA</t>
  </si>
  <si>
    <t>Környezetvédelmi Alap tartaléka</t>
  </si>
  <si>
    <t>Kertszépítési pályázat</t>
  </si>
  <si>
    <t>Zöldfal</t>
  </si>
  <si>
    <t>Ivókutak, párakapuk létesítése - KVA</t>
  </si>
  <si>
    <t>Kutyapiszok gyűjtő bővítés telepítéssel (15 db) - KVA</t>
  </si>
  <si>
    <t>Öntözőrendszerek tervezése, létesítése - KVA</t>
  </si>
  <si>
    <t>K512+513</t>
  </si>
  <si>
    <t>K334</t>
  </si>
  <si>
    <t>Rendelet szerinti kötelező tartalék (10%)</t>
  </si>
  <si>
    <t>Budavári Önkormányzat 2022. évi európai uniós támogatási programjai</t>
  </si>
  <si>
    <t>Adatok eFt-ban</t>
  </si>
  <si>
    <t>Program jelzőszáma, megnevezése</t>
  </si>
  <si>
    <t>Pályázati önerő</t>
  </si>
  <si>
    <t>Pályázaton felüli önerő</t>
  </si>
  <si>
    <t>Támogatás</t>
  </si>
  <si>
    <t>Korábbi években</t>
  </si>
  <si>
    <t>2022. évben</t>
  </si>
  <si>
    <t>További években</t>
  </si>
  <si>
    <t>Összesen TSZ szerint</t>
  </si>
  <si>
    <t>Összesen tényleges</t>
  </si>
  <si>
    <t>ÁROP-3.A.2-2013-2013-044 Hivatal szervezetfejlesztése</t>
  </si>
  <si>
    <t>EU-s Pályázatok</t>
  </si>
  <si>
    <t>Kimutatás a lakások és helyiségek bérletére, valamint az elidegenítésükre vonatkozó egyes szabályokról szóló 1993. évi LXXVIII. törvény (Lakás tv.) szerint tervezett bevételekről és kiadásokról</t>
  </si>
  <si>
    <t>Önkormányzati ingatlan értékesítésből tervezett bevételek</t>
  </si>
  <si>
    <t>A Lakás tv.  62. § (5) bekezdése szerinti levonások:</t>
  </si>
  <si>
    <t xml:space="preserve"> - a társasházzá való átalakítás költsége (becsült érték)</t>
  </si>
  <si>
    <t xml:space="preserve"> - a forgalmi érték megállapítása</t>
  </si>
  <si>
    <t xml:space="preserve"> - az elidegenítés lebonyolítása</t>
  </si>
  <si>
    <t>Országház 9. szám alatti épület</t>
  </si>
  <si>
    <t>A szociális és gyermekjóléti pénzbeli, természetbeni és személyes gondoskodást nyújtó ellátásokról szóló 6/2015. (II. 27.) önkormányzati rendelet 31-32. §§ alapján akadálymentesítési támogatás</t>
  </si>
  <si>
    <t>A szociális és gyermekjóléti pénzbeli, természetbeni és személyes gondoskodást nyújtó ellátásokról szóló 6/2015. (II. 27.) önkormányzati rendelet 33-34. §§ alapján lakáshelyreállítási támogatás</t>
  </si>
  <si>
    <t xml:space="preserve"> Magyarország gazdasági stabilitásáról szóló 2011. évi CXCIV törvény 8. § (2) bekezdése szerinti adósságot keletkeztető ügyletek és a kezességvállalásokból fennálló kötelezettségek a 2022-2025. közötti időszakban</t>
  </si>
  <si>
    <t>01</t>
  </si>
  <si>
    <t>Helyi adók</t>
  </si>
  <si>
    <t>02</t>
  </si>
  <si>
    <t>Tulajdonosi bevételek</t>
  </si>
  <si>
    <t>03</t>
  </si>
  <si>
    <t>Díjak, pótlékok, bírságok, települési adók</t>
  </si>
  <si>
    <t>04</t>
  </si>
  <si>
    <t>Immateriális javak, ingatlanok és egyéb tárgyi eszközök értékesítése</t>
  </si>
  <si>
    <t>05</t>
  </si>
  <si>
    <t>Részesedések értékesítése és részesedések megszüntetéséhez kapcsolódó bevételek</t>
  </si>
  <si>
    <t>06</t>
  </si>
  <si>
    <t>Privatizációbol származó bevételek</t>
  </si>
  <si>
    <t>07</t>
  </si>
  <si>
    <t>Garancia- és kezességvállalásból származó megtérülések</t>
  </si>
  <si>
    <t>08</t>
  </si>
  <si>
    <t>Saját bevételek (01+…+07)</t>
  </si>
  <si>
    <t>09</t>
  </si>
  <si>
    <t>Saját bevételek 50%-a</t>
  </si>
  <si>
    <t>10</t>
  </si>
  <si>
    <t>Előző év(ek)ben keletkezett fizetési kötelezettség (11+…+18)</t>
  </si>
  <si>
    <t>11</t>
  </si>
  <si>
    <t>Hitelből eredő fizetési kötelezettség</t>
  </si>
  <si>
    <t>12</t>
  </si>
  <si>
    <t>Kölcsönből eredő fizetési kötelezettség</t>
  </si>
  <si>
    <t>13</t>
  </si>
  <si>
    <t>Hitelviszonyt megtestesítő értékpapírból eredő fizetési kötelezettség</t>
  </si>
  <si>
    <t>14</t>
  </si>
  <si>
    <t>Adott váltóból eredő fizetési kötelezettség</t>
  </si>
  <si>
    <t>15</t>
  </si>
  <si>
    <t>Pénzügyi lízingből eredő fizetési kötelezettség</t>
  </si>
  <si>
    <t>16</t>
  </si>
  <si>
    <t>Halasztott fizetés, részletfizetés fizetési kötelezettsége</t>
  </si>
  <si>
    <t>17</t>
  </si>
  <si>
    <t>Szerződésben kikötött visszavásárlási kötelezettség</t>
  </si>
  <si>
    <t>18</t>
  </si>
  <si>
    <t>Kezesség-, és garanciavállalásból eredő fizetési kötelezettség</t>
  </si>
  <si>
    <t>Tárgyévben keletkezett, illetve keletkező, tárgyévet terhelő fizetési kötelezettség (20+…+27)</t>
  </si>
  <si>
    <t>20</t>
  </si>
  <si>
    <t>21</t>
  </si>
  <si>
    <t>22</t>
  </si>
  <si>
    <t>23</t>
  </si>
  <si>
    <t>24</t>
  </si>
  <si>
    <t>25</t>
  </si>
  <si>
    <t>26</t>
  </si>
  <si>
    <t>27</t>
  </si>
  <si>
    <t>Fizetési kötelezettség összesen (10+19)</t>
  </si>
  <si>
    <t>Fizetési kötelezettséggel csökkentett saját bevétel (09-28)</t>
  </si>
  <si>
    <t>Szilágyi Dezső tér 6. felújítása</t>
  </si>
  <si>
    <t>változás</t>
  </si>
  <si>
    <t>módosított előirányzat
 (...)</t>
  </si>
  <si>
    <t>Képviselő-testület tagjai</t>
  </si>
  <si>
    <t>Nem képviselő bizottsági tagok</t>
  </si>
  <si>
    <t>BUDAPEST FŐVÁROS I. KERÜLET BUDAVÁRI POLGÁRMESTERI HIVATAL</t>
  </si>
  <si>
    <t>Köztisztviselő (Kttv.)</t>
  </si>
  <si>
    <t>Közalkalmazott (Kjt.)</t>
  </si>
  <si>
    <t>Munkatörvénykönyve alá tartozó (Mt.)</t>
  </si>
  <si>
    <t>BRUNSZVIK TERÉZ BUDAVÁRI ÓVODÁK</t>
  </si>
  <si>
    <t>BUDAPEST I. KERÜLET BUDAVÁRI ÖNKORMÁNYZAT EGÉSZSÉGÜGYI SZOLGÁLATA</t>
  </si>
  <si>
    <t>Budapest I. kerület Budavári Önkormányzat bevételek</t>
  </si>
  <si>
    <t>COFOG szám</t>
  </si>
  <si>
    <t>COFOG megnevezés</t>
  </si>
  <si>
    <t>Feladat kód</t>
  </si>
  <si>
    <t>Működési célú támogatások</t>
  </si>
  <si>
    <t>Felhalmozási célú támogatások</t>
  </si>
  <si>
    <t>Működési (saját) bevételek</t>
  </si>
  <si>
    <t>Vagyon értékesítés bevételei</t>
  </si>
  <si>
    <t>Működési célú támogatások visszatérülése</t>
  </si>
  <si>
    <t>Felhalmozási célú támogatások visszatérülése</t>
  </si>
  <si>
    <t>Pénzügyi műveletek bevételei</t>
  </si>
  <si>
    <t>011130</t>
  </si>
  <si>
    <t>Önkorm. És hivatalok jogalkotó és ált. igazg. Tev</t>
  </si>
  <si>
    <t>K</t>
  </si>
  <si>
    <t>Ö</t>
  </si>
  <si>
    <t>013350</t>
  </si>
  <si>
    <t>Önkorm vagyonnal való gazdálkodás</t>
  </si>
  <si>
    <t>018010</t>
  </si>
  <si>
    <t>Önkorm-ok elszámolásai a kp-i költségvetéssel</t>
  </si>
  <si>
    <t>031030</t>
  </si>
  <si>
    <t>Közterület rendjének fenntartása</t>
  </si>
  <si>
    <t>041110</t>
  </si>
  <si>
    <t>Általános gazdasági és kereskedelmi ügyek</t>
  </si>
  <si>
    <t>041233</t>
  </si>
  <si>
    <t>Hosszabb időtartamú közfoglalkoztatás</t>
  </si>
  <si>
    <t>045170</t>
  </si>
  <si>
    <t>Parkoló, garázs üzemeltetése, fenntartása</t>
  </si>
  <si>
    <t>062020</t>
  </si>
  <si>
    <t>Településfejlesztési projektek és támogatásuk</t>
  </si>
  <si>
    <t>066010</t>
  </si>
  <si>
    <t>Zöldterület kezelés, kiépítés, gondozás</t>
  </si>
  <si>
    <t>066020</t>
  </si>
  <si>
    <t>Városgazdálkodási egyéb szolgáltatások</t>
  </si>
  <si>
    <t>082070</t>
  </si>
  <si>
    <t>Történelmi hely, építmény, egyéb látványosság működtetése, megóvása</t>
  </si>
  <si>
    <t>083030</t>
  </si>
  <si>
    <t>Egyéb kiadói tevékenység</t>
  </si>
  <si>
    <t>107060</t>
  </si>
  <si>
    <t>Egyéb szociális pénzbeli és természetbeni ellátások</t>
  </si>
  <si>
    <t>900020</t>
  </si>
  <si>
    <t>Önkormányzatok funkcióra nem sorolható bevételei államháztartáson kívülről</t>
  </si>
  <si>
    <t>900021</t>
  </si>
  <si>
    <t>900060</t>
  </si>
  <si>
    <t>Forgatási és befektetési célú finanszírozási műveletek</t>
  </si>
  <si>
    <t>Budapest I. kerület Budavári Önkormányzat kiadások</t>
  </si>
  <si>
    <t>Személyi jellegű kiadások</t>
  </si>
  <si>
    <t>Ellátottak juttatásai kiadások</t>
  </si>
  <si>
    <t>Működési célú kifizetések, támogatások kiadásai</t>
  </si>
  <si>
    <t>Felhalmozási célú kifizetések, támogatások kiadásai</t>
  </si>
  <si>
    <t>Pénzügyi műveletek kiadásai</t>
  </si>
  <si>
    <t>016080</t>
  </si>
  <si>
    <t>018020</t>
  </si>
  <si>
    <t>Központi költségvetési befizetések</t>
  </si>
  <si>
    <t>018030</t>
  </si>
  <si>
    <t>Támogatási célú finanszírozási műveletek</t>
  </si>
  <si>
    <t>,</t>
  </si>
  <si>
    <t>Á</t>
  </si>
  <si>
    <t>042180</t>
  </si>
  <si>
    <t>Állat-egészségügy</t>
  </si>
  <si>
    <t>045160</t>
  </si>
  <si>
    <t>Közutak hidak, alagutak üzemeltetése, fenntartása</t>
  </si>
  <si>
    <t>062010</t>
  </si>
  <si>
    <t>Településfejlesztés igazgatása</t>
  </si>
  <si>
    <t>082091</t>
  </si>
  <si>
    <t>Közművelődés - közösségi és társadalmi részvétel fejlesztése</t>
  </si>
  <si>
    <t>084010</t>
  </si>
  <si>
    <t>Társadalmi tev, esély=, érdekképv, nemzetiségek, egyházak összef. Feladatok igazg, szabályozása</t>
  </si>
  <si>
    <t>084031</t>
  </si>
  <si>
    <t>Civil szervezetek működési támogatása</t>
  </si>
  <si>
    <t>084032</t>
  </si>
  <si>
    <t>Civil szervezetek programtámogatása</t>
  </si>
  <si>
    <t>086010</t>
  </si>
  <si>
    <t>Határon túli magyarok egyéb támogatásai</t>
  </si>
  <si>
    <t>086020</t>
  </si>
  <si>
    <t>Helyi, térségi közösségi tér biztosítása, működtetése</t>
  </si>
  <si>
    <t>086030</t>
  </si>
  <si>
    <t>Nemzetközi kulturális együttműködés</t>
  </si>
  <si>
    <t>091120</t>
  </si>
  <si>
    <t>SNI-s gyermekek óvodai ellátás szakmai feladatai</t>
  </si>
  <si>
    <t>104012</t>
  </si>
  <si>
    <t>Gyermekek átmeneti ellátása</t>
  </si>
  <si>
    <t>104030</t>
  </si>
  <si>
    <t>Gyermekek napközbeni ellátása, családi bölcsőde, mh-i bölcsőde, napközbeni gym felügyelet v. alternatív napközbeni ell.</t>
  </si>
  <si>
    <t>104051</t>
  </si>
  <si>
    <t>Gyermekvédelmi pénzbeli és természetbeni ellátások</t>
  </si>
  <si>
    <t>106020</t>
  </si>
  <si>
    <t>Lakásfenntartással, lakhatással összefőggő ellátások</t>
  </si>
  <si>
    <t>Budapest Főváros I. Kerület Budavári Polgármesteri Hivatal bevételek</t>
  </si>
  <si>
    <t>Budapest Főváros I. Kerület Budavári Polgármesteri Hivatal kiadások</t>
  </si>
  <si>
    <t>Budapest I. kerület Budavári Önkormányzat Gazdasági Műszaki Ellátó és Szolgáltató Szervezet bevételek</t>
  </si>
  <si>
    <t>013360</t>
  </si>
  <si>
    <t>Más szerv részére végzett pénzügyi-gazdálkodási, üzemeltetési, egyéb szolgáltatások</t>
  </si>
  <si>
    <t>Váos-, községgazdálkodási egyéb feladatok</t>
  </si>
  <si>
    <t>081071</t>
  </si>
  <si>
    <t>Üdülői szálláshely-szolgáltatás és étkeztetés</t>
  </si>
  <si>
    <t>096015</t>
  </si>
  <si>
    <t>Gyermekétkeztetés köznevelési intézményben</t>
  </si>
  <si>
    <t>096025</t>
  </si>
  <si>
    <t>Munkahelyi étkeztetés köznevelési intézményben</t>
  </si>
  <si>
    <t>106010</t>
  </si>
  <si>
    <t>Lakóingatlan szociális célú bérbeadása, üzemeltetése</t>
  </si>
  <si>
    <t>900090</t>
  </si>
  <si>
    <t>Vállalkozási tevékenység kiadásai és bevételei</t>
  </si>
  <si>
    <t>Budapest I. kerület Budavári Önkormányzat Gazdasági Műszaki Ellátó és Szolgáltató Szervezet kiadások</t>
  </si>
  <si>
    <t>104037</t>
  </si>
  <si>
    <t>Intézményen kívüli gyermekétkeztetés</t>
  </si>
  <si>
    <t>Budapest I. kerület Önkormányzat Egyesített Bölcsöde bevételek</t>
  </si>
  <si>
    <t>104031</t>
  </si>
  <si>
    <t>Gyermekek napközbeni ellátása</t>
  </si>
  <si>
    <t>Gyermekétkeztetés</t>
  </si>
  <si>
    <t>Felnőtt étkezés</t>
  </si>
  <si>
    <t>Budapest I. kerület Önkormányzat Egyesített Bölcsöde kiadások</t>
  </si>
  <si>
    <t>Brunszvik Teréz Budavári Óvodák bevételek</t>
  </si>
  <si>
    <t>091110</t>
  </si>
  <si>
    <t>Óvodai nevelés, ellátás szakmai feladatai</t>
  </si>
  <si>
    <t>091140</t>
  </si>
  <si>
    <t>Óvodai nevelés, ellátás működtetési feladatai</t>
  </si>
  <si>
    <t>Brunszvik Teréz Budavári Óvodák kiadások</t>
  </si>
  <si>
    <t>Budapest I. kerület Budavári Önkormányzat Szociális és Gyermekjóléti Szolgáltatási Központ bevételek</t>
  </si>
  <si>
    <t>082044</t>
  </si>
  <si>
    <t>Könyvtári szolg.</t>
  </si>
  <si>
    <t>101143</t>
  </si>
  <si>
    <t>Pszichiátirai betegek közösségi ellátása</t>
  </si>
  <si>
    <t xml:space="preserve"> Idősek nappali ellátása</t>
  </si>
  <si>
    <t>Család és gyermekjóléti központ</t>
  </si>
  <si>
    <t xml:space="preserve"> Szociális étkeztetés</t>
  </si>
  <si>
    <t xml:space="preserve"> Házi segítség-nyújtás</t>
  </si>
  <si>
    <t>Jelzőrenszeres házi segítségnyújtás</t>
  </si>
  <si>
    <t>Budapest I. kerület Budavári Önkormányzat Szociális és Gyermekjóléti Szolgáltatási Központ kiadások</t>
  </si>
  <si>
    <t xml:space="preserve"> Könyvtári szolg.</t>
  </si>
  <si>
    <t xml:space="preserve"> Család és gyermekjóléti központ</t>
  </si>
  <si>
    <t>104042</t>
  </si>
  <si>
    <t xml:space="preserve"> Család és gyermekjóléti szolgáltatások</t>
  </si>
  <si>
    <t xml:space="preserve"> Jelzőrenszeres házi segítségnyújtás</t>
  </si>
  <si>
    <t>Czakó utcai Sport- és Szabadidőközpont bevételek</t>
  </si>
  <si>
    <t>081030</t>
  </si>
  <si>
    <t>Sportlétesítmények, edzőtáborok működtetése és fejlesztése</t>
  </si>
  <si>
    <t>Czakó utcai Sport- és Szabadidőközpont kiadások</t>
  </si>
  <si>
    <t>Budapest I. kerület Budavári Önkormányzat Egészségügyi Szolgálat bevételek</t>
  </si>
  <si>
    <t>072111</t>
  </si>
  <si>
    <t xml:space="preserve"> Háziorvosi alapellátás</t>
  </si>
  <si>
    <t>072112</t>
  </si>
  <si>
    <t xml:space="preserve"> Háziorvosi ügyeleti ellátás</t>
  </si>
  <si>
    <t>072311</t>
  </si>
  <si>
    <t xml:space="preserve"> Fogorvosi alapellátás</t>
  </si>
  <si>
    <t>074031</t>
  </si>
  <si>
    <t xml:space="preserve"> Védőnői szolgálat</t>
  </si>
  <si>
    <t>074032</t>
  </si>
  <si>
    <t xml:space="preserve"> Ifjúság-egészségügyi gondozás</t>
  </si>
  <si>
    <t>072210</t>
  </si>
  <si>
    <t xml:space="preserve"> Járóbeteg szakellátás</t>
  </si>
  <si>
    <t xml:space="preserve">Ö </t>
  </si>
  <si>
    <t>072230</t>
  </si>
  <si>
    <t xml:space="preserve"> Járóbeteg gondozás</t>
  </si>
  <si>
    <t>072420</t>
  </si>
  <si>
    <t xml:space="preserve"> Eü.labor.szolg.</t>
  </si>
  <si>
    <t>072430</t>
  </si>
  <si>
    <t xml:space="preserve"> Képalkotó diagnosztika</t>
  </si>
  <si>
    <t xml:space="preserve">072450 </t>
  </si>
  <si>
    <t>Fizikoterápia</t>
  </si>
  <si>
    <t>073160</t>
  </si>
  <si>
    <t xml:space="preserve"> Egynapos sebészet</t>
  </si>
  <si>
    <t>074011</t>
  </si>
  <si>
    <t xml:space="preserve"> Foglalkozás eü.</t>
  </si>
  <si>
    <t>900080</t>
  </si>
  <si>
    <t xml:space="preserve"> Nem lakóing. bérbeadás</t>
  </si>
  <si>
    <t xml:space="preserve"> Támogatási célú fin.műv.</t>
  </si>
  <si>
    <t>Budapest I. kerület Budavári Önkormányzat Egészségügyi Szolgálat kiadások</t>
  </si>
  <si>
    <t>072450</t>
  </si>
  <si>
    <t xml:space="preserve"> Fizikoterápia</t>
  </si>
  <si>
    <t>Önkormányzati lakások felújítási kerete</t>
  </si>
  <si>
    <t>Kerületi beköltözhető lakáscélú ingatlanállomány bővítése</t>
  </si>
  <si>
    <t>Egyéb kulturális célok támogatása</t>
  </si>
  <si>
    <t>Meglévő szobor állomány karbantartása, bővítése</t>
  </si>
  <si>
    <t>Kerületi kitüntetések és díjak reformja</t>
  </si>
  <si>
    <t>Kiemelt állami és önkorm rendezvények</t>
  </si>
  <si>
    <t>eredeti előirányzat</t>
  </si>
  <si>
    <t>módosított előirányzat</t>
  </si>
  <si>
    <t>2022. évi módosított előirányzat</t>
  </si>
  <si>
    <t>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</si>
</sst>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#,##0_ ;[Red]\-#,##0\ "/>
    <numFmt numFmtId="167" formatCode="_-* #,##0_-;\-* #,##0_-;_-* &quot;-&quot;??_-;_-@_-"/>
    <numFmt numFmtId="168" formatCode="#,##0.00_ ;[Red]\-#,##0.00\ "/>
    <numFmt numFmtId="169" formatCode="#,##0.000000000_ ;[Red]\-#,##0.000000000\ "/>
  </numFmts>
  <fonts count="6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sz val="8"/>
      <color theme="1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6" tint="0.39997558519241921"/>
        <bgColor indexed="9"/>
      </patternFill>
    </fill>
    <fill>
      <patternFill patternType="gray0625">
        <f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/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thin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rgb="FF0070C0"/>
      </right>
      <top style="thin">
        <color indexed="64"/>
      </top>
      <bottom/>
      <diagonal/>
    </border>
    <border>
      <left style="hair">
        <color rgb="FF0070C0"/>
      </left>
      <right style="hair">
        <color rgb="FF0070C0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22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5" fillId="0" borderId="0"/>
    <xf numFmtId="3" fontId="31" fillId="0" borderId="0">
      <alignment horizontal="right" vertical="center"/>
    </xf>
    <xf numFmtId="40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ill="0" applyBorder="0" applyAlignment="0" applyProtection="0"/>
    <xf numFmtId="164" fontId="15" fillId="0" borderId="0" applyFill="0" applyBorder="0" applyAlignment="0" applyProtection="0"/>
    <xf numFmtId="0" fontId="15" fillId="0" borderId="0"/>
    <xf numFmtId="0" fontId="42" fillId="0" borderId="0"/>
    <xf numFmtId="0" fontId="25" fillId="0" borderId="0"/>
    <xf numFmtId="3" fontId="39" fillId="0" borderId="72">
      <alignment horizontal="right" vertical="center" wrapText="1"/>
    </xf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ill="0" applyAlignment="0" applyProtection="0"/>
    <xf numFmtId="0" fontId="15" fillId="0" borderId="0"/>
  </cellStyleXfs>
  <cellXfs count="119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" fontId="4" fillId="0" borderId="0" xfId="1" applyNumberFormat="1" applyFont="1"/>
    <xf numFmtId="1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1" fontId="12" fillId="0" borderId="0" xfId="1" applyNumberFormat="1" applyFont="1" applyAlignment="1">
      <alignment horizontal="center" vertical="center"/>
    </xf>
    <xf numFmtId="1" fontId="12" fillId="0" borderId="0" xfId="1" applyNumberFormat="1" applyFont="1"/>
    <xf numFmtId="1" fontId="9" fillId="3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165" fontId="13" fillId="3" borderId="1" xfId="2" applyNumberFormat="1" applyFont="1" applyFill="1" applyBorder="1"/>
    <xf numFmtId="0" fontId="10" fillId="0" borderId="1" xfId="1" applyFont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left" vertical="center" wrapText="1"/>
    </xf>
    <xf numFmtId="165" fontId="14" fillId="3" borderId="1" xfId="2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165" fontId="9" fillId="2" borderId="1" xfId="2" applyNumberFormat="1" applyFont="1" applyFill="1" applyBorder="1" applyAlignment="1">
      <alignment horizontal="center" vertical="center"/>
    </xf>
    <xf numFmtId="165" fontId="9" fillId="2" borderId="1" xfId="2" applyNumberFormat="1" applyFont="1" applyFill="1" applyBorder="1" applyAlignment="1">
      <alignment vertic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wrapText="1"/>
    </xf>
    <xf numFmtId="0" fontId="7" fillId="0" borderId="0" xfId="3" applyFont="1"/>
    <xf numFmtId="0" fontId="6" fillId="0" borderId="0" xfId="3"/>
    <xf numFmtId="0" fontId="7" fillId="0" borderId="0" xfId="3" applyFont="1" applyAlignment="1">
      <alignment horizontal="right" vertical="center"/>
    </xf>
    <xf numFmtId="0" fontId="8" fillId="4" borderId="8" xfId="3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justify" vertical="center" wrapText="1"/>
    </xf>
    <xf numFmtId="0" fontId="7" fillId="0" borderId="8" xfId="3" applyFont="1" applyBorder="1" applyAlignment="1">
      <alignment wrapText="1"/>
    </xf>
    <xf numFmtId="0" fontId="7" fillId="0" borderId="8" xfId="3" applyFont="1" applyBorder="1"/>
    <xf numFmtId="0" fontId="7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3" fontId="6" fillId="0" borderId="8" xfId="3" applyNumberFormat="1" applyBorder="1"/>
    <xf numFmtId="0" fontId="7" fillId="0" borderId="0" xfId="3" applyFont="1" applyAlignment="1">
      <alignment horizontal="left"/>
    </xf>
    <xf numFmtId="38" fontId="15" fillId="0" borderId="0" xfId="3" applyNumberFormat="1" applyFont="1" applyAlignment="1">
      <alignment wrapText="1"/>
    </xf>
    <xf numFmtId="38" fontId="15" fillId="0" borderId="0" xfId="3" applyNumberFormat="1" applyFont="1" applyAlignment="1">
      <alignment horizontal="center" wrapText="1"/>
    </xf>
    <xf numFmtId="38" fontId="15" fillId="0" borderId="0" xfId="3" applyNumberFormat="1" applyFont="1"/>
    <xf numFmtId="38" fontId="16" fillId="0" borderId="0" xfId="3" applyNumberFormat="1" applyFont="1"/>
    <xf numFmtId="38" fontId="6" fillId="0" borderId="0" xfId="3" applyNumberFormat="1"/>
    <xf numFmtId="38" fontId="15" fillId="0" borderId="8" xfId="3" applyNumberFormat="1" applyFont="1" applyBorder="1" applyAlignment="1">
      <alignment wrapText="1"/>
    </xf>
    <xf numFmtId="38" fontId="17" fillId="0" borderId="8" xfId="3" applyNumberFormat="1" applyFont="1" applyBorder="1" applyAlignment="1">
      <alignment horizontal="center"/>
    </xf>
    <xf numFmtId="38" fontId="18" fillId="0" borderId="0" xfId="3" applyNumberFormat="1" applyFont="1" applyAlignment="1">
      <alignment wrapText="1"/>
    </xf>
    <xf numFmtId="38" fontId="19" fillId="0" borderId="0" xfId="3" applyNumberFormat="1" applyFont="1"/>
    <xf numFmtId="38" fontId="15" fillId="0" borderId="8" xfId="3" applyNumberFormat="1" applyFont="1" applyBorder="1"/>
    <xf numFmtId="38" fontId="19" fillId="5" borderId="8" xfId="3" applyNumberFormat="1" applyFont="1" applyFill="1" applyBorder="1" applyAlignment="1">
      <alignment wrapText="1"/>
    </xf>
    <xf numFmtId="38" fontId="19" fillId="5" borderId="8" xfId="3" applyNumberFormat="1" applyFont="1" applyFill="1" applyBorder="1"/>
    <xf numFmtId="38" fontId="19" fillId="5" borderId="0" xfId="3" applyNumberFormat="1" applyFont="1" applyFill="1"/>
    <xf numFmtId="166" fontId="15" fillId="0" borderId="8" xfId="3" applyNumberFormat="1" applyFont="1" applyBorder="1"/>
    <xf numFmtId="166" fontId="15" fillId="0" borderId="0" xfId="3" applyNumberFormat="1" applyFont="1"/>
    <xf numFmtId="38" fontId="19" fillId="6" borderId="8" xfId="3" applyNumberFormat="1" applyFont="1" applyFill="1" applyBorder="1" applyAlignment="1">
      <alignment wrapText="1"/>
    </xf>
    <xf numFmtId="38" fontId="19" fillId="6" borderId="8" xfId="3" applyNumberFormat="1" applyFont="1" applyFill="1" applyBorder="1"/>
    <xf numFmtId="38" fontId="15" fillId="0" borderId="8" xfId="3" applyNumberFormat="1" applyFont="1" applyBorder="1" applyAlignment="1">
      <alignment horizontal="left" wrapText="1" indent="1"/>
    </xf>
    <xf numFmtId="3" fontId="15" fillId="0" borderId="8" xfId="3" applyNumberFormat="1" applyFont="1" applyBorder="1"/>
    <xf numFmtId="3" fontId="6" fillId="0" borderId="8" xfId="3" applyNumberFormat="1" applyBorder="1" applyAlignment="1">
      <alignment horizontal="right"/>
    </xf>
    <xf numFmtId="165" fontId="20" fillId="3" borderId="1" xfId="2" applyNumberFormat="1" applyFont="1" applyFill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right"/>
    </xf>
    <xf numFmtId="0" fontId="22" fillId="0" borderId="0" xfId="0" applyFont="1"/>
    <xf numFmtId="49" fontId="23" fillId="0" borderId="17" xfId="0" applyNumberFormat="1" applyFont="1" applyFill="1" applyBorder="1" applyAlignment="1" applyProtection="1">
      <alignment horizontal="center" vertical="center" wrapText="1"/>
    </xf>
    <xf numFmtId="49" fontId="23" fillId="0" borderId="18" xfId="0" applyNumberFormat="1" applyFont="1" applyFill="1" applyBorder="1" applyAlignment="1" applyProtection="1">
      <alignment horizontal="center" vertical="center" wrapText="1"/>
    </xf>
    <xf numFmtId="49" fontId="23" fillId="0" borderId="15" xfId="0" applyNumberFormat="1" applyFont="1" applyFill="1" applyBorder="1" applyAlignment="1" applyProtection="1">
      <alignment horizontal="center" vertical="center" wrapText="1"/>
    </xf>
    <xf numFmtId="49" fontId="23" fillId="0" borderId="19" xfId="0" applyNumberFormat="1" applyFont="1" applyFill="1" applyBorder="1" applyAlignment="1" applyProtection="1">
      <alignment horizontal="center" vertical="center" wrapText="1"/>
    </xf>
    <xf numFmtId="49" fontId="23" fillId="0" borderId="20" xfId="0" applyNumberFormat="1" applyFont="1" applyFill="1" applyBorder="1" applyAlignment="1" applyProtection="1">
      <alignment horizontal="center" vertical="center" wrapText="1"/>
    </xf>
    <xf numFmtId="49" fontId="23" fillId="0" borderId="1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25" xfId="7" applyFont="1" applyFill="1" applyBorder="1" applyAlignment="1" applyProtection="1">
      <alignment horizontal="left" vertical="center"/>
    </xf>
    <xf numFmtId="0" fontId="23" fillId="0" borderId="26" xfId="7" applyFont="1" applyFill="1" applyBorder="1" applyAlignment="1" applyProtection="1">
      <alignment horizontal="left" vertical="center"/>
    </xf>
    <xf numFmtId="0" fontId="23" fillId="0" borderId="27" xfId="7" applyFont="1" applyFill="1" applyBorder="1" applyAlignment="1" applyProtection="1">
      <alignment horizontal="left" vertical="center"/>
    </xf>
    <xf numFmtId="3" fontId="23" fillId="0" borderId="28" xfId="0" applyNumberFormat="1" applyFont="1" applyFill="1" applyBorder="1" applyAlignment="1" applyProtection="1">
      <alignment horizontal="right" vertical="center"/>
    </xf>
    <xf numFmtId="3" fontId="23" fillId="0" borderId="29" xfId="0" applyNumberFormat="1" applyFont="1" applyFill="1" applyBorder="1" applyAlignment="1" applyProtection="1">
      <alignment horizontal="right" vertical="center"/>
    </xf>
    <xf numFmtId="3" fontId="23" fillId="0" borderId="26" xfId="0" applyNumberFormat="1" applyFont="1" applyFill="1" applyBorder="1" applyAlignment="1" applyProtection="1">
      <alignment horizontal="right" vertical="center"/>
    </xf>
    <xf numFmtId="3" fontId="23" fillId="0" borderId="30" xfId="0" applyNumberFormat="1" applyFont="1" applyFill="1" applyBorder="1" applyAlignment="1" applyProtection="1">
      <alignment horizontal="right" vertical="center"/>
    </xf>
    <xf numFmtId="3" fontId="23" fillId="0" borderId="31" xfId="0" applyNumberFormat="1" applyFont="1" applyFill="1" applyBorder="1" applyAlignment="1" applyProtection="1">
      <alignment horizontal="right" vertical="center"/>
    </xf>
    <xf numFmtId="0" fontId="23" fillId="0" borderId="6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horizontal="left" vertical="center"/>
    </xf>
    <xf numFmtId="0" fontId="23" fillId="0" borderId="4" xfId="7" applyFont="1" applyFill="1" applyBorder="1" applyAlignment="1" applyProtection="1">
      <alignment horizontal="left" vertical="center"/>
    </xf>
    <xf numFmtId="3" fontId="23" fillId="0" borderId="32" xfId="0" applyNumberFormat="1" applyFont="1" applyFill="1" applyBorder="1" applyAlignment="1" applyProtection="1">
      <alignment horizontal="right"/>
    </xf>
    <xf numFmtId="3" fontId="23" fillId="0" borderId="33" xfId="0" applyNumberFormat="1" applyFont="1" applyFill="1" applyBorder="1" applyAlignment="1" applyProtection="1">
      <alignment horizontal="right"/>
    </xf>
    <xf numFmtId="3" fontId="23" fillId="0" borderId="1" xfId="0" applyNumberFormat="1" applyFont="1" applyFill="1" applyBorder="1" applyAlignment="1" applyProtection="1">
      <alignment horizontal="right"/>
    </xf>
    <xf numFmtId="3" fontId="23" fillId="0" borderId="34" xfId="0" applyNumberFormat="1" applyFont="1" applyFill="1" applyBorder="1" applyAlignment="1" applyProtection="1">
      <alignment horizontal="right"/>
    </xf>
    <xf numFmtId="3" fontId="23" fillId="0" borderId="35" xfId="0" applyNumberFormat="1" applyFont="1" applyFill="1" applyBorder="1" applyAlignment="1" applyProtection="1">
      <alignment horizontal="right"/>
    </xf>
    <xf numFmtId="10" fontId="22" fillId="0" borderId="0" xfId="6" applyNumberFormat="1" applyFont="1"/>
    <xf numFmtId="49" fontId="23" fillId="0" borderId="25" xfId="7" applyNumberFormat="1" applyFont="1" applyFill="1" applyBorder="1" applyAlignment="1" applyProtection="1">
      <alignment horizontal="left" vertical="center"/>
    </xf>
    <xf numFmtId="49" fontId="23" fillId="0" borderId="6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center" vertical="center"/>
    </xf>
    <xf numFmtId="0" fontId="24" fillId="0" borderId="27" xfId="7" applyFont="1" applyFill="1" applyBorder="1" applyAlignment="1" applyProtection="1">
      <alignment horizontal="left" vertical="center" wrapText="1"/>
    </xf>
    <xf numFmtId="167" fontId="24" fillId="0" borderId="31" xfId="5" applyNumberFormat="1" applyFont="1" applyFill="1" applyBorder="1" applyAlignment="1" applyProtection="1">
      <alignment horizontal="right" vertical="center"/>
    </xf>
    <xf numFmtId="3" fontId="24" fillId="0" borderId="29" xfId="0" applyNumberFormat="1" applyFont="1" applyFill="1" applyBorder="1" applyAlignment="1" applyProtection="1">
      <alignment horizontal="right" vertical="center"/>
    </xf>
    <xf numFmtId="3" fontId="24" fillId="0" borderId="26" xfId="0" applyNumberFormat="1" applyFont="1" applyFill="1" applyBorder="1" applyAlignment="1" applyProtection="1">
      <alignment horizontal="right" vertical="center"/>
    </xf>
    <xf numFmtId="3" fontId="24" fillId="0" borderId="30" xfId="0" applyNumberFormat="1" applyFont="1" applyFill="1" applyBorder="1" applyAlignment="1" applyProtection="1">
      <alignment horizontal="right" vertical="center"/>
    </xf>
    <xf numFmtId="3" fontId="24" fillId="0" borderId="31" xfId="0" applyNumberFormat="1" applyFont="1" applyFill="1" applyBorder="1" applyAlignment="1" applyProtection="1">
      <alignment horizontal="right" vertical="center"/>
    </xf>
    <xf numFmtId="0" fontId="24" fillId="0" borderId="6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center" vertical="center"/>
    </xf>
    <xf numFmtId="0" fontId="24" fillId="0" borderId="4" xfId="8" applyFont="1" applyFill="1" applyBorder="1" applyAlignment="1" applyProtection="1">
      <alignment horizontal="left" vertical="center" wrapText="1"/>
    </xf>
    <xf numFmtId="3" fontId="24" fillId="0" borderId="36" xfId="0" applyNumberFormat="1" applyFont="1" applyBorder="1" applyAlignment="1">
      <alignment horizontal="right" vertical="top" wrapText="1"/>
    </xf>
    <xf numFmtId="3" fontId="24" fillId="0" borderId="37" xfId="0" applyNumberFormat="1" applyFont="1" applyBorder="1" applyAlignment="1">
      <alignment horizontal="right" vertical="top" wrapText="1"/>
    </xf>
    <xf numFmtId="3" fontId="24" fillId="0" borderId="0" xfId="0" applyNumberFormat="1" applyFont="1" applyBorder="1" applyAlignment="1">
      <alignment horizontal="right" vertical="top" wrapText="1"/>
    </xf>
    <xf numFmtId="3" fontId="24" fillId="0" borderId="38" xfId="0" applyNumberFormat="1" applyFont="1" applyBorder="1" applyAlignment="1">
      <alignment horizontal="right" vertical="top" wrapText="1"/>
    </xf>
    <xf numFmtId="3" fontId="22" fillId="0" borderId="0" xfId="0" applyNumberFormat="1" applyFont="1"/>
    <xf numFmtId="0" fontId="24" fillId="0" borderId="27" xfId="7" applyFont="1" applyFill="1" applyBorder="1" applyAlignment="1" applyProtection="1">
      <alignment horizontal="left" vertical="center"/>
    </xf>
    <xf numFmtId="3" fontId="24" fillId="0" borderId="35" xfId="0" applyNumberFormat="1" applyFont="1" applyFill="1" applyBorder="1" applyAlignment="1" applyProtection="1">
      <alignment horizontal="right"/>
    </xf>
    <xf numFmtId="0" fontId="24" fillId="7" borderId="25" xfId="7" applyFont="1" applyFill="1" applyBorder="1" applyAlignment="1" applyProtection="1">
      <alignment horizontal="left" vertical="center"/>
    </xf>
    <xf numFmtId="0" fontId="24" fillId="7" borderId="26" xfId="7" applyFont="1" applyFill="1" applyBorder="1" applyAlignment="1" applyProtection="1">
      <alignment horizontal="left" vertical="center"/>
    </xf>
    <xf numFmtId="0" fontId="24" fillId="7" borderId="27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left" vertical="center"/>
    </xf>
    <xf numFmtId="0" fontId="24" fillId="7" borderId="29" xfId="7" applyFont="1" applyFill="1" applyBorder="1" applyAlignment="1" applyProtection="1">
      <alignment horizontal="left" vertical="center"/>
    </xf>
    <xf numFmtId="0" fontId="24" fillId="7" borderId="30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center" vertical="center"/>
    </xf>
    <xf numFmtId="49" fontId="24" fillId="0" borderId="4" xfId="8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24" fillId="0" borderId="39" xfId="7" applyFont="1" applyFill="1" applyBorder="1" applyAlignment="1" applyProtection="1">
      <alignment horizontal="left" vertical="center"/>
    </xf>
    <xf numFmtId="0" fontId="24" fillId="0" borderId="40" xfId="7" applyFont="1" applyFill="1" applyBorder="1" applyAlignment="1" applyProtection="1">
      <alignment horizontal="center" vertical="center"/>
    </xf>
    <xf numFmtId="0" fontId="24" fillId="0" borderId="41" xfId="7" applyFont="1" applyFill="1" applyBorder="1" applyAlignment="1" applyProtection="1">
      <alignment horizontal="left" vertical="center"/>
    </xf>
    <xf numFmtId="3" fontId="24" fillId="0" borderId="28" xfId="0" applyNumberFormat="1" applyFont="1" applyFill="1" applyBorder="1" applyAlignment="1" applyProtection="1">
      <alignment horizontal="right" vertical="center"/>
    </xf>
    <xf numFmtId="0" fontId="23" fillId="0" borderId="25" xfId="7" applyFont="1" applyFill="1" applyBorder="1" applyProtection="1"/>
    <xf numFmtId="0" fontId="23" fillId="0" borderId="6" xfId="7" applyFont="1" applyFill="1" applyBorder="1" applyProtection="1"/>
    <xf numFmtId="0" fontId="24" fillId="0" borderId="26" xfId="0" applyFont="1" applyFill="1" applyBorder="1" applyAlignment="1" applyProtection="1">
      <alignment horizontal="center" vertical="center"/>
    </xf>
    <xf numFmtId="167" fontId="24" fillId="0" borderId="31" xfId="7" applyNumberFormat="1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7" fontId="24" fillId="0" borderId="32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center" vertical="center"/>
    </xf>
    <xf numFmtId="0" fontId="27" fillId="0" borderId="27" xfId="7" applyFont="1" applyFill="1" applyBorder="1" applyAlignment="1" applyProtection="1">
      <alignment horizontal="left" vertical="center"/>
    </xf>
    <xf numFmtId="167" fontId="27" fillId="0" borderId="31" xfId="5" applyNumberFormat="1" applyFont="1" applyFill="1" applyBorder="1" applyAlignment="1" applyProtection="1">
      <alignment horizontal="right" vertical="center"/>
    </xf>
    <xf numFmtId="3" fontId="27" fillId="0" borderId="29" xfId="7" applyNumberFormat="1" applyFont="1" applyFill="1" applyBorder="1" applyAlignment="1" applyProtection="1">
      <alignment horizontal="right" vertical="center"/>
    </xf>
    <xf numFmtId="3" fontId="27" fillId="0" borderId="26" xfId="7" applyNumberFormat="1" applyFont="1" applyFill="1" applyBorder="1" applyAlignment="1" applyProtection="1">
      <alignment horizontal="right" vertical="center"/>
    </xf>
    <xf numFmtId="3" fontId="27" fillId="0" borderId="30" xfId="7" applyNumberFormat="1" applyFont="1" applyFill="1" applyBorder="1" applyAlignment="1" applyProtection="1">
      <alignment horizontal="right" vertical="center"/>
    </xf>
    <xf numFmtId="3" fontId="27" fillId="0" borderId="31" xfId="7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/>
    </xf>
    <xf numFmtId="167" fontId="27" fillId="0" borderId="32" xfId="5" applyNumberFormat="1" applyFont="1" applyFill="1" applyBorder="1" applyAlignment="1" applyProtection="1">
      <alignment horizontal="right"/>
    </xf>
    <xf numFmtId="3" fontId="27" fillId="0" borderId="37" xfId="0" applyNumberFormat="1" applyFont="1" applyFill="1" applyBorder="1" applyAlignment="1" applyProtection="1">
      <alignment horizontal="right"/>
    </xf>
    <xf numFmtId="3" fontId="27" fillId="0" borderId="0" xfId="0" applyNumberFormat="1" applyFont="1" applyFill="1" applyBorder="1" applyAlignment="1" applyProtection="1">
      <alignment horizontal="right"/>
    </xf>
    <xf numFmtId="3" fontId="27" fillId="0" borderId="38" xfId="0" applyNumberFormat="1" applyFont="1" applyFill="1" applyBorder="1" applyAlignment="1" applyProtection="1">
      <alignment horizontal="right"/>
    </xf>
    <xf numFmtId="3" fontId="27" fillId="0" borderId="35" xfId="0" applyNumberFormat="1" applyFont="1" applyFill="1" applyBorder="1" applyAlignment="1" applyProtection="1">
      <alignment horizontal="right"/>
    </xf>
    <xf numFmtId="3" fontId="27" fillId="0" borderId="31" xfId="0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 wrapText="1"/>
    </xf>
    <xf numFmtId="0" fontId="27" fillId="0" borderId="27" xfId="7" applyFont="1" applyFill="1" applyBorder="1" applyAlignment="1" applyProtection="1">
      <alignment horizontal="left" vertical="center" wrapText="1"/>
    </xf>
    <xf numFmtId="0" fontId="27" fillId="0" borderId="32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/>
    </xf>
    <xf numFmtId="0" fontId="24" fillId="0" borderId="29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30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right" vertical="center"/>
    </xf>
    <xf numFmtId="0" fontId="24" fillId="0" borderId="32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 wrapText="1"/>
    </xf>
    <xf numFmtId="0" fontId="24" fillId="0" borderId="29" xfId="7" applyFont="1" applyFill="1" applyBorder="1" applyAlignment="1" applyProtection="1">
      <alignment horizontal="left" vertical="center" wrapText="1"/>
    </xf>
    <xf numFmtId="0" fontId="24" fillId="0" borderId="26" xfId="7" applyFont="1" applyFill="1" applyBorder="1" applyAlignment="1" applyProtection="1">
      <alignment horizontal="left" vertical="center" wrapText="1"/>
    </xf>
    <xf numFmtId="0" fontId="24" fillId="0" borderId="30" xfId="7" applyFont="1" applyFill="1" applyBorder="1" applyAlignment="1" applyProtection="1">
      <alignment horizontal="left" vertical="center" wrapText="1"/>
    </xf>
    <xf numFmtId="0" fontId="24" fillId="0" borderId="34" xfId="7" applyFont="1" applyFill="1" applyBorder="1" applyAlignment="1" applyProtection="1">
      <alignment horizontal="left" vertical="center"/>
    </xf>
    <xf numFmtId="0" fontId="27" fillId="0" borderId="42" xfId="7" applyFont="1" applyFill="1" applyBorder="1" applyAlignment="1" applyProtection="1">
      <alignment horizontal="left" vertical="center" wrapText="1"/>
    </xf>
    <xf numFmtId="3" fontId="27" fillId="0" borderId="43" xfId="7" applyNumberFormat="1" applyFont="1" applyFill="1" applyBorder="1" applyAlignment="1" applyProtection="1">
      <alignment horizontal="right" vertical="center"/>
    </xf>
    <xf numFmtId="3" fontId="27" fillId="0" borderId="44" xfId="7" applyNumberFormat="1" applyFont="1" applyFill="1" applyBorder="1" applyAlignment="1" applyProtection="1">
      <alignment horizontal="right" vertical="center"/>
    </xf>
    <xf numFmtId="3" fontId="27" fillId="0" borderId="45" xfId="7" applyNumberFormat="1" applyFont="1" applyFill="1" applyBorder="1" applyAlignment="1" applyProtection="1">
      <alignment horizontal="right" vertical="center"/>
    </xf>
    <xf numFmtId="3" fontId="27" fillId="0" borderId="42" xfId="7" applyNumberFormat="1" applyFont="1" applyFill="1" applyBorder="1" applyAlignment="1" applyProtection="1">
      <alignment horizontal="right" vertical="center"/>
    </xf>
    <xf numFmtId="3" fontId="27" fillId="0" borderId="46" xfId="0" applyNumberFormat="1" applyFont="1" applyFill="1" applyBorder="1" applyAlignment="1" applyProtection="1">
      <alignment horizontal="right"/>
    </xf>
    <xf numFmtId="3" fontId="27" fillId="0" borderId="47" xfId="0" applyNumberFormat="1" applyFont="1" applyFill="1" applyBorder="1" applyAlignment="1" applyProtection="1">
      <alignment horizontal="right"/>
    </xf>
    <xf numFmtId="3" fontId="27" fillId="0" borderId="48" xfId="0" applyNumberFormat="1" applyFont="1" applyFill="1" applyBorder="1" applyAlignment="1" applyProtection="1">
      <alignment horizontal="right"/>
    </xf>
    <xf numFmtId="3" fontId="27" fillId="0" borderId="49" xfId="0" applyNumberFormat="1" applyFont="1" applyFill="1" applyBorder="1" applyAlignment="1" applyProtection="1">
      <alignment horizontal="right"/>
    </xf>
    <xf numFmtId="0" fontId="23" fillId="0" borderId="26" xfId="7" applyFont="1" applyFill="1" applyBorder="1" applyAlignment="1" applyProtection="1">
      <alignment vertical="top"/>
    </xf>
    <xf numFmtId="3" fontId="23" fillId="0" borderId="20" xfId="0" applyNumberFormat="1" applyFont="1" applyFill="1" applyBorder="1" applyAlignment="1" applyProtection="1">
      <alignment horizontal="right" vertical="center"/>
    </xf>
    <xf numFmtId="3" fontId="23" fillId="0" borderId="14" xfId="0" applyNumberFormat="1" applyFont="1" applyFill="1" applyBorder="1" applyAlignment="1" applyProtection="1">
      <alignment horizontal="right" vertical="center"/>
    </xf>
    <xf numFmtId="3" fontId="23" fillId="0" borderId="15" xfId="0" applyNumberFormat="1" applyFont="1" applyFill="1" applyBorder="1" applyAlignment="1" applyProtection="1">
      <alignment horizontal="right" vertical="center"/>
    </xf>
    <xf numFmtId="3" fontId="23" fillId="0" borderId="19" xfId="0" applyNumberFormat="1" applyFont="1" applyFill="1" applyBorder="1" applyAlignment="1" applyProtection="1">
      <alignment horizontal="right" vertical="center"/>
    </xf>
    <xf numFmtId="0" fontId="23" fillId="0" borderId="33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vertical="top"/>
    </xf>
    <xf numFmtId="0" fontId="23" fillId="0" borderId="4" xfId="7" applyFont="1" applyFill="1" applyBorder="1" applyAlignment="1" applyProtection="1">
      <alignment vertical="center"/>
    </xf>
    <xf numFmtId="3" fontId="23" fillId="0" borderId="17" xfId="0" applyNumberFormat="1" applyFont="1" applyFill="1" applyBorder="1" applyAlignment="1" applyProtection="1">
      <alignment horizontal="right" vertical="center"/>
    </xf>
    <xf numFmtId="3" fontId="23" fillId="0" borderId="50" xfId="0" applyNumberFormat="1" applyFont="1" applyFill="1" applyBorder="1" applyAlignment="1" applyProtection="1">
      <alignment horizontal="right" vertical="center"/>
    </xf>
    <xf numFmtId="3" fontId="23" fillId="0" borderId="13" xfId="0" applyNumberFormat="1" applyFont="1" applyFill="1" applyBorder="1" applyAlignment="1" applyProtection="1">
      <alignment horizontal="right" vertical="center"/>
    </xf>
    <xf numFmtId="3" fontId="23" fillId="0" borderId="51" xfId="0" applyNumberFormat="1" applyFont="1" applyFill="1" applyBorder="1" applyAlignment="1" applyProtection="1">
      <alignment horizontal="right" vertical="center"/>
    </xf>
    <xf numFmtId="3" fontId="23" fillId="0" borderId="24" xfId="0" applyNumberFormat="1" applyFont="1" applyFill="1" applyBorder="1" applyAlignment="1" applyProtection="1">
      <alignment horizontal="right" vertical="center"/>
    </xf>
    <xf numFmtId="3" fontId="24" fillId="0" borderId="25" xfId="0" applyNumberFormat="1" applyFont="1" applyFill="1" applyBorder="1" applyAlignment="1" applyProtection="1">
      <alignment horizontal="right" vertical="center"/>
    </xf>
    <xf numFmtId="3" fontId="24" fillId="0" borderId="36" xfId="0" applyNumberFormat="1" applyFont="1" applyFill="1" applyBorder="1" applyAlignment="1" applyProtection="1">
      <alignment horizontal="right" vertical="center"/>
    </xf>
    <xf numFmtId="3" fontId="24" fillId="0" borderId="37" xfId="0" applyNumberFormat="1" applyFont="1" applyFill="1" applyBorder="1" applyAlignment="1" applyProtection="1">
      <alignment horizontal="right" vertical="center"/>
    </xf>
    <xf numFmtId="3" fontId="24" fillId="0" borderId="0" xfId="0" applyNumberFormat="1" applyFont="1" applyFill="1" applyBorder="1" applyAlignment="1" applyProtection="1">
      <alignment horizontal="right" vertical="center"/>
    </xf>
    <xf numFmtId="3" fontId="24" fillId="0" borderId="38" xfId="0" applyNumberFormat="1" applyFont="1" applyFill="1" applyBorder="1" applyAlignment="1" applyProtection="1">
      <alignment horizontal="right" vertical="center"/>
    </xf>
    <xf numFmtId="3" fontId="24" fillId="0" borderId="35" xfId="0" applyNumberFormat="1" applyFont="1" applyFill="1" applyBorder="1" applyAlignment="1" applyProtection="1">
      <alignment horizontal="right" vertical="center"/>
    </xf>
    <xf numFmtId="3" fontId="23" fillId="0" borderId="42" xfId="0" applyNumberFormat="1" applyFont="1" applyFill="1" applyBorder="1" applyAlignment="1" applyProtection="1">
      <alignment horizontal="right" vertical="center"/>
    </xf>
    <xf numFmtId="3" fontId="23" fillId="0" borderId="52" xfId="0" applyNumberFormat="1" applyFont="1" applyFill="1" applyBorder="1" applyAlignment="1" applyProtection="1">
      <alignment horizontal="right" vertical="center"/>
    </xf>
    <xf numFmtId="3" fontId="23" fillId="0" borderId="44" xfId="0" applyNumberFormat="1" applyFont="1" applyFill="1" applyBorder="1" applyAlignment="1" applyProtection="1">
      <alignment horizontal="right" vertical="center"/>
    </xf>
    <xf numFmtId="3" fontId="23" fillId="0" borderId="45" xfId="0" applyNumberFormat="1" applyFont="1" applyFill="1" applyBorder="1" applyAlignment="1" applyProtection="1">
      <alignment horizontal="right" vertical="center"/>
    </xf>
    <xf numFmtId="3" fontId="23" fillId="0" borderId="55" xfId="0" applyNumberFormat="1" applyFont="1" applyFill="1" applyBorder="1" applyAlignment="1" applyProtection="1">
      <alignment horizontal="right" vertical="center"/>
    </xf>
    <xf numFmtId="3" fontId="23" fillId="0" borderId="56" xfId="0" applyNumberFormat="1" applyFont="1" applyFill="1" applyBorder="1" applyAlignment="1" applyProtection="1">
      <alignment horizontal="right" vertical="center"/>
    </xf>
    <xf numFmtId="3" fontId="23" fillId="0" borderId="10" xfId="0" applyNumberFormat="1" applyFont="1" applyFill="1" applyBorder="1" applyAlignment="1" applyProtection="1">
      <alignment horizontal="right" vertical="center"/>
    </xf>
    <xf numFmtId="3" fontId="23" fillId="0" borderId="57" xfId="0" applyNumberFormat="1" applyFont="1" applyFill="1" applyBorder="1" applyAlignment="1" applyProtection="1">
      <alignment horizontal="right" vertical="center"/>
    </xf>
    <xf numFmtId="3" fontId="23" fillId="0" borderId="58" xfId="0" applyNumberFormat="1" applyFont="1" applyFill="1" applyBorder="1" applyAlignment="1" applyProtection="1">
      <alignment horizontal="right" vertical="center"/>
    </xf>
    <xf numFmtId="0" fontId="23" fillId="0" borderId="14" xfId="7" applyFont="1" applyFill="1" applyBorder="1" applyAlignment="1" applyProtection="1">
      <alignment vertical="center"/>
    </xf>
    <xf numFmtId="0" fontId="23" fillId="0" borderId="16" xfId="7" applyFont="1" applyFill="1" applyBorder="1" applyAlignment="1" applyProtection="1">
      <alignment vertical="top"/>
    </xf>
    <xf numFmtId="0" fontId="23" fillId="0" borderId="18" xfId="7" applyFont="1" applyFill="1" applyBorder="1" applyAlignment="1" applyProtection="1">
      <alignment vertical="center"/>
    </xf>
    <xf numFmtId="3" fontId="24" fillId="0" borderId="15" xfId="0" applyNumberFormat="1" applyFont="1" applyFill="1" applyBorder="1" applyAlignment="1" applyProtection="1">
      <alignment vertical="center"/>
    </xf>
    <xf numFmtId="0" fontId="23" fillId="0" borderId="25" xfId="7" applyFont="1" applyFill="1" applyBorder="1" applyAlignment="1" applyProtection="1">
      <alignment vertical="center"/>
    </xf>
    <xf numFmtId="0" fontId="23" fillId="0" borderId="27" xfId="7" applyFont="1" applyFill="1" applyBorder="1" applyAlignment="1" applyProtection="1">
      <alignment vertical="top"/>
    </xf>
    <xf numFmtId="49" fontId="24" fillId="0" borderId="25" xfId="7" applyNumberFormat="1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vertical="top"/>
    </xf>
    <xf numFmtId="0" fontId="24" fillId="0" borderId="25" xfId="7" applyFont="1" applyFill="1" applyBorder="1" applyAlignment="1" applyProtection="1">
      <alignment vertical="center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vertical="top"/>
    </xf>
    <xf numFmtId="0" fontId="23" fillId="0" borderId="52" xfId="7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horizontal="left" vertical="center" wrapText="1" shrinkToFit="1"/>
    </xf>
    <xf numFmtId="166" fontId="20" fillId="0" borderId="59" xfId="0" applyNumberFormat="1" applyFont="1" applyFill="1" applyBorder="1" applyAlignment="1" applyProtection="1">
      <alignment horizontal="left" vertical="center"/>
    </xf>
    <xf numFmtId="166" fontId="28" fillId="8" borderId="61" xfId="7" applyNumberFormat="1" applyFont="1" applyFill="1" applyBorder="1" applyAlignment="1" applyProtection="1">
      <alignment horizontal="center" vertical="center" wrapText="1"/>
    </xf>
    <xf numFmtId="166" fontId="21" fillId="9" borderId="61" xfId="7" applyNumberFormat="1" applyFont="1" applyFill="1" applyBorder="1" applyAlignment="1" applyProtection="1">
      <alignment horizontal="center" vertical="center" wrapText="1"/>
    </xf>
    <xf numFmtId="166" fontId="20" fillId="0" borderId="64" xfId="0" applyNumberFormat="1" applyFont="1" applyFill="1" applyBorder="1" applyProtection="1"/>
    <xf numFmtId="38" fontId="21" fillId="0" borderId="65" xfId="0" applyNumberFormat="1" applyFont="1" applyFill="1" applyBorder="1" applyAlignment="1" applyProtection="1">
      <alignment horizontal="left" vertical="center"/>
    </xf>
    <xf numFmtId="166" fontId="21" fillId="0" borderId="67" xfId="0" applyNumberFormat="1" applyFont="1" applyFill="1" applyBorder="1" applyAlignment="1" applyProtection="1">
      <alignment horizontal="center" vertical="center" wrapText="1"/>
    </xf>
    <xf numFmtId="166" fontId="21" fillId="8" borderId="67" xfId="0" applyNumberFormat="1" applyFont="1" applyFill="1" applyBorder="1" applyAlignment="1" applyProtection="1">
      <alignment horizontal="center" vertical="center" wrapText="1"/>
    </xf>
    <xf numFmtId="166" fontId="21" fillId="9" borderId="67" xfId="0" applyNumberFormat="1" applyFont="1" applyFill="1" applyBorder="1" applyAlignment="1" applyProtection="1">
      <alignment horizontal="center" vertical="center" wrapText="1"/>
    </xf>
    <xf numFmtId="166" fontId="20" fillId="0" borderId="68" xfId="0" applyNumberFormat="1" applyFont="1" applyFill="1" applyBorder="1" applyAlignment="1" applyProtection="1">
      <alignment horizontal="center"/>
    </xf>
    <xf numFmtId="0" fontId="20" fillId="0" borderId="69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vertical="center"/>
    </xf>
    <xf numFmtId="166" fontId="20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8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9" borderId="71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69" xfId="0" applyNumberFormat="1" applyFont="1" applyFill="1" applyBorder="1" applyProtection="1">
      <protection locked="0"/>
    </xf>
    <xf numFmtId="0" fontId="20" fillId="0" borderId="72" xfId="0" applyFont="1" applyBorder="1" applyAlignment="1">
      <alignment horizontal="left" vertical="center" wrapText="1"/>
    </xf>
    <xf numFmtId="166" fontId="21" fillId="0" borderId="73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vertical="center"/>
    </xf>
    <xf numFmtId="166" fontId="2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72" xfId="0" applyNumberFormat="1" applyFont="1" applyFill="1" applyBorder="1" applyProtection="1">
      <protection locked="0"/>
    </xf>
    <xf numFmtId="0" fontId="20" fillId="10" borderId="72" xfId="0" applyFont="1" applyFill="1" applyBorder="1" applyAlignment="1">
      <alignment horizontal="left" vertical="center" wrapText="1"/>
    </xf>
    <xf numFmtId="166" fontId="20" fillId="10" borderId="72" xfId="0" applyNumberFormat="1" applyFont="1" applyFill="1" applyBorder="1" applyProtection="1">
      <protection locked="0"/>
    </xf>
    <xf numFmtId="0" fontId="29" fillId="0" borderId="72" xfId="0" applyFont="1" applyBorder="1" applyAlignment="1">
      <alignment horizontal="right" vertical="center" wrapText="1"/>
    </xf>
    <xf numFmtId="166" fontId="30" fillId="0" borderId="73" xfId="0" applyNumberFormat="1" applyFont="1" applyFill="1" applyBorder="1" applyAlignment="1" applyProtection="1">
      <alignment vertical="center"/>
    </xf>
    <xf numFmtId="166" fontId="29" fillId="0" borderId="73" xfId="0" applyNumberFormat="1" applyFont="1" applyFill="1" applyBorder="1" applyAlignment="1" applyProtection="1">
      <alignment vertical="center"/>
    </xf>
    <xf numFmtId="166" fontId="29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Protection="1">
      <protection locked="0"/>
    </xf>
    <xf numFmtId="166" fontId="29" fillId="0" borderId="72" xfId="0" applyNumberFormat="1" applyFont="1" applyFill="1" applyBorder="1" applyAlignment="1" applyProtection="1">
      <alignment vertical="center"/>
      <protection locked="0"/>
    </xf>
    <xf numFmtId="166" fontId="29" fillId="0" borderId="73" xfId="0" applyNumberFormat="1" applyFont="1" applyFill="1" applyBorder="1" applyAlignment="1" applyProtection="1">
      <alignment vertical="center"/>
      <protection locked="0"/>
    </xf>
    <xf numFmtId="166" fontId="20" fillId="0" borderId="67" xfId="0" applyNumberFormat="1" applyFont="1" applyFill="1" applyBorder="1" applyAlignment="1" applyProtection="1">
      <alignment horizontal="right" vertical="center" wrapText="1"/>
    </xf>
    <xf numFmtId="0" fontId="21" fillId="10" borderId="72" xfId="0" applyFont="1" applyFill="1" applyBorder="1" applyAlignment="1">
      <alignment horizontal="left" vertical="center" wrapText="1"/>
    </xf>
    <xf numFmtId="166" fontId="21" fillId="10" borderId="70" xfId="0" applyNumberFormat="1" applyFont="1" applyFill="1" applyBorder="1" applyAlignment="1" applyProtection="1">
      <alignment horizontal="right" vertical="center"/>
    </xf>
    <xf numFmtId="166" fontId="21" fillId="10" borderId="67" xfId="0" applyNumberFormat="1" applyFont="1" applyFill="1" applyBorder="1" applyAlignment="1" applyProtection="1">
      <alignment horizontal="right" vertical="center" wrapText="1"/>
    </xf>
    <xf numFmtId="166" fontId="21" fillId="10" borderId="69" xfId="0" applyNumberFormat="1" applyFont="1" applyFill="1" applyBorder="1" applyAlignment="1" applyProtection="1">
      <alignment horizontal="right"/>
    </xf>
    <xf numFmtId="0" fontId="21" fillId="0" borderId="72" xfId="0" applyFont="1" applyBorder="1" applyAlignment="1">
      <alignment horizontal="left" vertical="center" wrapText="1"/>
    </xf>
    <xf numFmtId="166" fontId="21" fillId="0" borderId="70" xfId="0" applyNumberFormat="1" applyFont="1" applyFill="1" applyBorder="1" applyAlignment="1" applyProtection="1">
      <alignment horizontal="right" vertical="center"/>
    </xf>
    <xf numFmtId="166" fontId="21" fillId="0" borderId="67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0" borderId="69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right" vertical="center"/>
    </xf>
    <xf numFmtId="166" fontId="21" fillId="10" borderId="72" xfId="0" applyNumberFormat="1" applyFont="1" applyFill="1" applyBorder="1" applyAlignment="1" applyProtection="1">
      <alignment horizontal="right"/>
    </xf>
    <xf numFmtId="166" fontId="30" fillId="0" borderId="70" xfId="0" applyNumberFormat="1" applyFont="1" applyFill="1" applyBorder="1" applyAlignment="1" applyProtection="1">
      <alignment vertical="center"/>
    </xf>
    <xf numFmtId="166" fontId="29" fillId="0" borderId="67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</xf>
    <xf numFmtId="166" fontId="29" fillId="0" borderId="71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9" xfId="0" applyNumberFormat="1" applyFont="1" applyFill="1" applyBorder="1" applyAlignment="1" applyProtection="1">
      <protection locked="0"/>
    </xf>
    <xf numFmtId="166" fontId="29" fillId="0" borderId="6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72" xfId="0" applyNumberFormat="1" applyFont="1" applyFill="1" applyBorder="1" applyAlignment="1" applyProtection="1">
      <protection locked="0"/>
    </xf>
    <xf numFmtId="166" fontId="29" fillId="0" borderId="72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left" vertical="center"/>
    </xf>
    <xf numFmtId="166" fontId="21" fillId="10" borderId="72" xfId="0" applyNumberFormat="1" applyFont="1" applyFill="1" applyBorder="1" applyAlignment="1" applyProtection="1">
      <alignment horizontal="left"/>
    </xf>
    <xf numFmtId="166" fontId="29" fillId="0" borderId="69" xfId="0" applyNumberFormat="1" applyFont="1" applyFill="1" applyBorder="1" applyProtection="1">
      <protection locked="0"/>
    </xf>
    <xf numFmtId="0" fontId="21" fillId="10" borderId="74" xfId="0" applyFont="1" applyFill="1" applyBorder="1" applyAlignment="1">
      <alignment horizontal="left" vertical="center" wrapText="1"/>
    </xf>
    <xf numFmtId="166" fontId="21" fillId="10" borderId="75" xfId="0" applyNumberFormat="1" applyFont="1" applyFill="1" applyBorder="1" applyAlignment="1" applyProtection="1">
      <alignment horizontal="right" vertical="center"/>
    </xf>
    <xf numFmtId="166" fontId="21" fillId="10" borderId="65" xfId="9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right"/>
    </xf>
    <xf numFmtId="0" fontId="21" fillId="0" borderId="69" xfId="0" applyFont="1" applyBorder="1" applyAlignment="1">
      <alignment horizontal="left" vertical="center" wrapText="1"/>
    </xf>
    <xf numFmtId="166" fontId="21" fillId="10" borderId="67" xfId="9" applyNumberFormat="1" applyFont="1" applyFill="1" applyBorder="1" applyAlignment="1" applyProtection="1">
      <alignment horizontal="right" vertical="center" wrapText="1"/>
    </xf>
    <xf numFmtId="166" fontId="29" fillId="0" borderId="69" xfId="0" applyNumberFormat="1" applyFont="1" applyFill="1" applyBorder="1" applyAlignment="1" applyProtection="1">
      <alignment horizontal="right"/>
      <protection locked="0"/>
    </xf>
    <xf numFmtId="166" fontId="30" fillId="0" borderId="76" xfId="0" applyNumberFormat="1" applyFont="1" applyFill="1" applyBorder="1" applyAlignment="1" applyProtection="1">
      <alignment vertical="center"/>
    </xf>
    <xf numFmtId="166" fontId="29" fillId="0" borderId="77" xfId="7" applyNumberFormat="1" applyFont="1" applyFill="1" applyBorder="1" applyAlignment="1" applyProtection="1">
      <alignment horizontal="right" vertical="center" wrapText="1"/>
    </xf>
    <xf numFmtId="166" fontId="29" fillId="0" borderId="77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4" xfId="0" applyNumberFormat="1" applyFont="1" applyFill="1" applyBorder="1" applyProtection="1">
      <protection locked="0"/>
    </xf>
    <xf numFmtId="0" fontId="20" fillId="10" borderId="69" xfId="0" applyFont="1" applyFill="1" applyBorder="1" applyAlignment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right" vertical="center" wrapText="1"/>
    </xf>
    <xf numFmtId="166" fontId="20" fillId="10" borderId="69" xfId="0" applyNumberFormat="1" applyFont="1" applyFill="1" applyBorder="1" applyAlignment="1" applyProtection="1">
      <alignment horizontal="right"/>
    </xf>
    <xf numFmtId="166" fontId="29" fillId="0" borderId="67" xfId="9" applyNumberFormat="1" applyFont="1" applyFill="1" applyBorder="1" applyAlignment="1" applyProtection="1">
      <alignment horizontal="right" vertical="center" wrapText="1"/>
    </xf>
    <xf numFmtId="166" fontId="29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29" fillId="10" borderId="67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right"/>
    </xf>
    <xf numFmtId="166" fontId="29" fillId="0" borderId="67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0" applyNumberFormat="1" applyFont="1" applyFill="1" applyBorder="1" applyAlignment="1" applyProtection="1">
      <alignment vertical="center"/>
      <protection locked="0"/>
    </xf>
    <xf numFmtId="166" fontId="30" fillId="10" borderId="67" xfId="9" applyNumberFormat="1" applyFont="1" applyFill="1" applyBorder="1" applyAlignment="1" applyProtection="1">
      <alignment horizontal="right" vertical="center" wrapText="1"/>
    </xf>
    <xf numFmtId="166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9" fillId="0" borderId="71" xfId="0" applyNumberFormat="1" applyFont="1" applyFill="1" applyBorder="1" applyAlignment="1" applyProtection="1">
      <alignment vertical="center"/>
      <protection locked="0"/>
    </xf>
    <xf numFmtId="166" fontId="29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67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71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left" vertical="center" wrapText="1"/>
    </xf>
    <xf numFmtId="166" fontId="29" fillId="0" borderId="71" xfId="9" applyNumberFormat="1" applyFont="1" applyFill="1" applyBorder="1" applyAlignment="1" applyProtection="1">
      <alignment horizontal="right" vertical="center" wrapText="1"/>
    </xf>
    <xf numFmtId="166" fontId="20" fillId="10" borderId="72" xfId="0" applyNumberFormat="1" applyFont="1" applyFill="1" applyBorder="1" applyAlignment="1" applyProtection="1">
      <alignment horizontal="left"/>
    </xf>
    <xf numFmtId="168" fontId="29" fillId="0" borderId="72" xfId="0" applyNumberFormat="1" applyFont="1" applyFill="1" applyBorder="1" applyAlignment="1" applyProtection="1">
      <alignment horizontal="right"/>
      <protection locked="0"/>
    </xf>
    <xf numFmtId="166" fontId="20" fillId="10" borderId="67" xfId="0" applyNumberFormat="1" applyFont="1" applyFill="1" applyBorder="1" applyAlignment="1" applyProtection="1">
      <alignment horizontal="right" vertical="center" wrapText="1"/>
    </xf>
    <xf numFmtId="166" fontId="20" fillId="0" borderId="67" xfId="0" applyNumberFormat="1" applyFont="1" applyFill="1" applyBorder="1" applyAlignment="1" applyProtection="1">
      <alignment horizontal="right" vertical="center"/>
      <protection locked="0"/>
    </xf>
    <xf numFmtId="169" fontId="20" fillId="10" borderId="72" xfId="0" applyNumberFormat="1" applyFont="1" applyFill="1" applyBorder="1" applyAlignment="1" applyProtection="1">
      <alignment horizontal="right"/>
    </xf>
    <xf numFmtId="168" fontId="20" fillId="10" borderId="72" xfId="0" applyNumberFormat="1" applyFont="1" applyFill="1" applyBorder="1" applyAlignment="1" applyProtection="1">
      <alignment horizontal="right"/>
    </xf>
    <xf numFmtId="166" fontId="29" fillId="0" borderId="77" xfId="9" applyNumberFormat="1" applyFont="1" applyFill="1" applyBorder="1" applyAlignment="1" applyProtection="1">
      <alignment horizontal="right" vertical="center" wrapText="1"/>
    </xf>
    <xf numFmtId="166" fontId="29" fillId="0" borderId="77" xfId="9" applyNumberFormat="1" applyFont="1" applyFill="1" applyBorder="1" applyAlignment="1" applyProtection="1">
      <alignment horizontal="right" vertical="center" wrapText="1"/>
      <protection locked="0"/>
    </xf>
    <xf numFmtId="166" fontId="29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10" borderId="74" xfId="0" applyNumberFormat="1" applyFont="1" applyFill="1" applyBorder="1" applyAlignment="1" applyProtection="1">
      <alignment horizontal="left" vertical="center"/>
    </xf>
    <xf numFmtId="166" fontId="30" fillId="10" borderId="65" xfId="9" applyNumberFormat="1" applyFont="1" applyFill="1" applyBorder="1" applyAlignment="1" applyProtection="1">
      <alignment horizontal="right" vertical="center" wrapText="1"/>
    </xf>
    <xf numFmtId="166" fontId="20" fillId="10" borderId="74" xfId="0" applyNumberFormat="1" applyFont="1" applyFill="1" applyBorder="1" applyAlignment="1" applyProtection="1">
      <alignment horizontal="left"/>
    </xf>
    <xf numFmtId="166" fontId="20" fillId="0" borderId="71" xfId="0" applyNumberFormat="1" applyFont="1" applyFill="1" applyBorder="1" applyAlignment="1" applyProtection="1">
      <alignment horizontal="right" vertical="center" wrapText="1"/>
    </xf>
    <xf numFmtId="166" fontId="20" fillId="0" borderId="71" xfId="0" applyNumberFormat="1" applyFont="1" applyFill="1" applyBorder="1" applyAlignment="1" applyProtection="1">
      <alignment horizontal="right" vertical="center"/>
      <protection locked="0"/>
    </xf>
    <xf numFmtId="166" fontId="20" fillId="0" borderId="69" xfId="0" applyNumberFormat="1" applyFont="1" applyFill="1" applyBorder="1" applyAlignment="1" applyProtection="1">
      <alignment horizontal="right"/>
      <protection locked="0"/>
    </xf>
    <xf numFmtId="166" fontId="30" fillId="0" borderId="73" xfId="0" applyNumberFormat="1" applyFont="1" applyFill="1" applyBorder="1" applyAlignment="1" applyProtection="1">
      <alignment horizontal="right" vertical="center"/>
    </xf>
    <xf numFmtId="166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0" borderId="73" xfId="0" applyNumberFormat="1" applyFont="1" applyFill="1" applyBorder="1" applyAlignment="1" applyProtection="1">
      <alignment horizontal="right" vertical="center"/>
    </xf>
    <xf numFmtId="166" fontId="20" fillId="0" borderId="72" xfId="0" applyNumberFormat="1" applyFont="1" applyFill="1" applyBorder="1" applyAlignment="1" applyProtection="1">
      <alignment horizontal="right"/>
      <protection locked="0"/>
    </xf>
    <xf numFmtId="166" fontId="20" fillId="0" borderId="72" xfId="0" applyNumberFormat="1" applyFont="1" applyFill="1" applyBorder="1" applyAlignment="1" applyProtection="1">
      <alignment horizontal="right"/>
    </xf>
    <xf numFmtId="166" fontId="29" fillId="10" borderId="67" xfId="9" applyNumberFormat="1" applyFont="1" applyFill="1" applyBorder="1" applyAlignment="1" applyProtection="1">
      <alignment horizontal="right" vertical="center" wrapText="1"/>
      <protection locked="0"/>
    </xf>
    <xf numFmtId="166" fontId="20" fillId="10" borderId="72" xfId="0" applyNumberFormat="1" applyFont="1" applyFill="1" applyBorder="1" applyAlignment="1" applyProtection="1">
      <alignment horizontal="right"/>
      <protection locked="0"/>
    </xf>
    <xf numFmtId="0" fontId="20" fillId="0" borderId="72" xfId="0" applyFont="1" applyFill="1" applyBorder="1" applyAlignment="1">
      <alignment horizontal="left" vertical="center" wrapText="1"/>
    </xf>
    <xf numFmtId="166" fontId="20" fillId="0" borderId="67" xfId="9" applyNumberFormat="1" applyFont="1" applyFill="1" applyBorder="1" applyAlignment="1" applyProtection="1">
      <alignment horizontal="right" vertical="center" wrapText="1"/>
    </xf>
    <xf numFmtId="166" fontId="20" fillId="0" borderId="71" xfId="9" applyNumberFormat="1" applyFont="1" applyFill="1" applyBorder="1" applyAlignment="1" applyProtection="1">
      <alignment horizontal="right" vertical="center" wrapText="1"/>
    </xf>
    <xf numFmtId="166" fontId="30" fillId="0" borderId="78" xfId="0" applyNumberFormat="1" applyFont="1" applyFill="1" applyBorder="1" applyAlignment="1" applyProtection="1">
      <alignment horizontal="right" vertical="center"/>
    </xf>
    <xf numFmtId="166" fontId="29" fillId="0" borderId="79" xfId="9" applyNumberFormat="1" applyFont="1" applyFill="1" applyBorder="1" applyAlignment="1" applyProtection="1">
      <alignment horizontal="right" vertical="center" wrapText="1"/>
    </xf>
    <xf numFmtId="166" fontId="29" fillId="0" borderId="79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7" xfId="0" applyNumberFormat="1" applyFont="1" applyFill="1" applyBorder="1" applyAlignment="1" applyProtection="1">
      <alignment horizontal="right" vertical="center"/>
      <protection locked="0"/>
    </xf>
    <xf numFmtId="166" fontId="21" fillId="0" borderId="79" xfId="0" applyNumberFormat="1" applyFont="1" applyFill="1" applyBorder="1" applyAlignment="1" applyProtection="1">
      <alignment horizontal="right" vertical="center"/>
      <protection locked="0"/>
    </xf>
    <xf numFmtId="166" fontId="29" fillId="0" borderId="80" xfId="0" applyNumberFormat="1" applyFont="1" applyFill="1" applyBorder="1" applyAlignment="1" applyProtection="1">
      <alignment horizontal="right"/>
      <protection locked="0"/>
    </xf>
    <xf numFmtId="166" fontId="30" fillId="10" borderId="65" xfId="9" applyNumberFormat="1" applyFont="1" applyFill="1" applyBorder="1" applyAlignment="1" applyProtection="1">
      <alignment horizontal="right" vertical="center"/>
    </xf>
    <xf numFmtId="0" fontId="21" fillId="0" borderId="69" xfId="0" applyFont="1" applyFill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horizontal="right"/>
    </xf>
    <xf numFmtId="166" fontId="21" fillId="0" borderId="67" xfId="0" applyNumberFormat="1" applyFont="1" applyFill="1" applyBorder="1" applyAlignment="1" applyProtection="1">
      <alignment horizontal="left" vertical="center"/>
      <protection locked="0"/>
    </xf>
    <xf numFmtId="166" fontId="21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72" xfId="0" applyNumberFormat="1" applyFont="1" applyFill="1" applyBorder="1" applyAlignment="1" applyProtection="1">
      <alignment horizontal="left"/>
      <protection locked="0"/>
    </xf>
    <xf numFmtId="166" fontId="30" fillId="0" borderId="67" xfId="0" applyNumberFormat="1" applyFont="1" applyFill="1" applyBorder="1" applyAlignment="1" applyProtection="1">
      <alignment horizontal="right" vertical="center"/>
      <protection locked="0"/>
    </xf>
    <xf numFmtId="166" fontId="30" fillId="0" borderId="67" xfId="0" applyNumberFormat="1" applyFont="1" applyFill="1" applyBorder="1" applyAlignment="1" applyProtection="1">
      <alignment horizontal="left" vertical="center"/>
      <protection locked="0"/>
    </xf>
    <xf numFmtId="166" fontId="30" fillId="0" borderId="67" xfId="0" applyNumberFormat="1" applyFont="1" applyFill="1" applyBorder="1" applyAlignment="1" applyProtection="1">
      <alignment horizontal="right" vertical="center" wrapText="1"/>
      <protection locked="0"/>
    </xf>
    <xf numFmtId="166" fontId="30" fillId="0" borderId="72" xfId="0" applyNumberFormat="1" applyFont="1" applyFill="1" applyBorder="1" applyAlignment="1" applyProtection="1">
      <alignment horizontal="left"/>
      <protection locked="0"/>
    </xf>
    <xf numFmtId="166" fontId="21" fillId="0" borderId="67" xfId="9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/>
      <protection locked="0"/>
    </xf>
    <xf numFmtId="166" fontId="21" fillId="0" borderId="76" xfId="0" applyNumberFormat="1" applyFont="1" applyFill="1" applyBorder="1" applyAlignment="1" applyProtection="1">
      <alignment horizontal="right" vertical="center"/>
    </xf>
    <xf numFmtId="166" fontId="21" fillId="0" borderId="77" xfId="0" applyNumberFormat="1" applyFont="1" applyFill="1" applyBorder="1" applyAlignment="1" applyProtection="1">
      <alignment horizontal="right" vertical="center"/>
      <protection locked="0"/>
    </xf>
    <xf numFmtId="166" fontId="21" fillId="0" borderId="77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64" xfId="0" applyNumberFormat="1" applyFont="1" applyFill="1" applyBorder="1" applyAlignment="1" applyProtection="1">
      <alignment horizontal="right"/>
      <protection locked="0"/>
    </xf>
    <xf numFmtId="166" fontId="21" fillId="10" borderId="74" xfId="0" applyNumberFormat="1" applyFont="1" applyFill="1" applyBorder="1" applyAlignment="1" applyProtection="1">
      <alignment horizontal="right" vertical="center"/>
    </xf>
    <xf numFmtId="166" fontId="21" fillId="10" borderId="65" xfId="0" applyNumberFormat="1" applyFont="1" applyFill="1" applyBorder="1" applyAlignment="1" applyProtection="1">
      <alignment horizontal="right" vertical="center" wrapText="1"/>
    </xf>
    <xf numFmtId="166" fontId="21" fillId="0" borderId="71" xfId="0" applyNumberFormat="1" applyFont="1" applyFill="1" applyBorder="1" applyAlignment="1" applyProtection="1">
      <alignment horizontal="right" vertical="center" wrapText="1"/>
      <protection locked="0"/>
    </xf>
    <xf numFmtId="166" fontId="30" fillId="10" borderId="67" xfId="7" applyNumberFormat="1" applyFont="1" applyFill="1" applyBorder="1" applyAlignment="1" applyProtection="1">
      <alignment horizontal="right" vertical="center" wrapText="1"/>
    </xf>
    <xf numFmtId="166" fontId="20" fillId="0" borderId="67" xfId="7" applyNumberFormat="1" applyFont="1" applyFill="1" applyBorder="1" applyAlignment="1" applyProtection="1">
      <alignment horizontal="right" vertical="center" wrapText="1"/>
    </xf>
    <xf numFmtId="166" fontId="21" fillId="10" borderId="75" xfId="0" applyNumberFormat="1" applyFont="1" applyFill="1" applyBorder="1" applyAlignment="1" applyProtection="1">
      <alignment horizontal="left" vertical="center"/>
    </xf>
    <xf numFmtId="166" fontId="20" fillId="10" borderId="74" xfId="0" applyNumberFormat="1" applyFont="1" applyFill="1" applyBorder="1" applyAlignment="1" applyProtection="1">
      <alignment horizontal="left" vertical="center"/>
    </xf>
    <xf numFmtId="166" fontId="21" fillId="0" borderId="67" xfId="7" applyNumberFormat="1" applyFont="1" applyFill="1" applyBorder="1" applyAlignment="1" applyProtection="1">
      <alignment horizontal="right" vertical="center" wrapText="1"/>
    </xf>
    <xf numFmtId="166" fontId="20" fillId="0" borderId="77" xfId="0" applyNumberFormat="1" applyFont="1" applyFill="1" applyBorder="1" applyAlignment="1" applyProtection="1">
      <alignment horizontal="right" vertical="center" wrapText="1"/>
    </xf>
    <xf numFmtId="166" fontId="29" fillId="0" borderId="64" xfId="0" applyNumberFormat="1" applyFont="1" applyFill="1" applyBorder="1" applyAlignment="1" applyProtection="1">
      <alignment horizontal="right"/>
      <protection locked="0"/>
    </xf>
    <xf numFmtId="0" fontId="21" fillId="10" borderId="81" xfId="0" applyFont="1" applyFill="1" applyBorder="1" applyAlignment="1">
      <alignment horizontal="left" vertical="center" wrapText="1"/>
    </xf>
    <xf numFmtId="166" fontId="21" fillId="10" borderId="82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 wrapText="1"/>
    </xf>
    <xf numFmtId="166" fontId="21" fillId="0" borderId="84" xfId="0" applyNumberFormat="1" applyFont="1" applyFill="1" applyBorder="1" applyAlignment="1" applyProtection="1">
      <alignment horizontal="right" vertical="center"/>
    </xf>
    <xf numFmtId="166" fontId="20" fillId="0" borderId="86" xfId="0" applyNumberFormat="1" applyFont="1" applyFill="1" applyBorder="1" applyAlignment="1" applyProtection="1">
      <alignment horizontal="right" vertical="center"/>
    </xf>
    <xf numFmtId="166" fontId="29" fillId="0" borderId="67" xfId="0" applyNumberFormat="1" applyFont="1" applyFill="1" applyBorder="1" applyAlignment="1" applyProtection="1">
      <alignment horizontal="right" vertical="center" wrapText="1"/>
    </xf>
    <xf numFmtId="166" fontId="21" fillId="10" borderId="67" xfId="0" applyNumberFormat="1" applyFont="1" applyFill="1" applyBorder="1" applyAlignment="1" applyProtection="1">
      <alignment horizontal="right" vertical="center"/>
    </xf>
    <xf numFmtId="166" fontId="21" fillId="0" borderId="85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</xf>
    <xf numFmtId="166" fontId="21" fillId="0" borderId="72" xfId="0" applyNumberFormat="1" applyFont="1" applyFill="1" applyBorder="1" applyAlignment="1" applyProtection="1">
      <alignment horizontal="right" vertical="center"/>
      <protection locked="0"/>
    </xf>
    <xf numFmtId="166" fontId="21" fillId="10" borderId="65" xfId="0" applyNumberFormat="1" applyFont="1" applyFill="1" applyBorder="1" applyAlignment="1" applyProtection="1">
      <alignment horizontal="right" vertical="center"/>
    </xf>
    <xf numFmtId="166" fontId="21" fillId="10" borderId="83" xfId="0" applyNumberFormat="1" applyFont="1" applyFill="1" applyBorder="1" applyAlignment="1" applyProtection="1">
      <alignment horizontal="right" vertical="center"/>
    </xf>
    <xf numFmtId="166" fontId="21" fillId="10" borderId="81" xfId="0" applyNumberFormat="1" applyFont="1" applyFill="1" applyBorder="1" applyAlignment="1" applyProtection="1">
      <alignment horizontal="right" vertical="center"/>
    </xf>
    <xf numFmtId="166" fontId="20" fillId="0" borderId="69" xfId="0" applyNumberFormat="1" applyFont="1" applyFill="1" applyBorder="1" applyAlignment="1" applyProtection="1">
      <alignment horizontal="left" vertical="center"/>
      <protection locked="0"/>
    </xf>
    <xf numFmtId="166" fontId="21" fillId="0" borderId="69" xfId="0" applyNumberFormat="1" applyFont="1" applyFill="1" applyBorder="1" applyAlignment="1" applyProtection="1">
      <alignment vertical="center"/>
    </xf>
    <xf numFmtId="166" fontId="20" fillId="0" borderId="69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Alignment="1" applyProtection="1">
      <alignment horizontal="right"/>
    </xf>
    <xf numFmtId="166" fontId="20" fillId="0" borderId="70" xfId="0" applyNumberFormat="1" applyFont="1" applyFill="1" applyBorder="1" applyProtection="1">
      <protection locked="0"/>
    </xf>
    <xf numFmtId="166" fontId="20" fillId="8" borderId="69" xfId="0" applyNumberFormat="1" applyFont="1" applyFill="1" applyBorder="1" applyProtection="1">
      <protection locked="0"/>
    </xf>
    <xf numFmtId="166" fontId="20" fillId="9" borderId="69" xfId="0" applyNumberFormat="1" applyFont="1" applyFill="1" applyBorder="1" applyProtection="1">
      <protection locked="0"/>
    </xf>
    <xf numFmtId="166" fontId="20" fillId="0" borderId="72" xfId="0" applyNumberFormat="1" applyFont="1" applyFill="1" applyBorder="1" applyAlignment="1" applyProtection="1">
      <alignment horizontal="left" vertical="center"/>
      <protection locked="0"/>
    </xf>
    <xf numFmtId="166" fontId="21" fillId="0" borderId="72" xfId="0" applyNumberFormat="1" applyFont="1" applyFill="1" applyBorder="1" applyAlignment="1" applyProtection="1">
      <alignment vertical="center"/>
    </xf>
    <xf numFmtId="166" fontId="20" fillId="0" borderId="73" xfId="0" applyNumberFormat="1" applyFont="1" applyFill="1" applyBorder="1" applyAlignment="1" applyProtection="1">
      <alignment horizontal="right"/>
    </xf>
    <xf numFmtId="166" fontId="20" fillId="0" borderId="73" xfId="0" applyNumberFormat="1" applyFont="1" applyFill="1" applyBorder="1" applyProtection="1">
      <protection locked="0"/>
    </xf>
    <xf numFmtId="166" fontId="20" fillId="8" borderId="72" xfId="0" applyNumberFormat="1" applyFont="1" applyFill="1" applyBorder="1" applyProtection="1">
      <protection locked="0"/>
    </xf>
    <xf numFmtId="166" fontId="20" fillId="9" borderId="72" xfId="0" applyNumberFormat="1" applyFont="1" applyFill="1" applyBorder="1" applyProtection="1">
      <protection locked="0"/>
    </xf>
    <xf numFmtId="166" fontId="21" fillId="0" borderId="84" xfId="0" applyNumberFormat="1" applyFont="1" applyFill="1" applyBorder="1" applyAlignment="1" applyProtection="1">
      <alignment vertical="center"/>
    </xf>
    <xf numFmtId="166" fontId="20" fillId="0" borderId="84" xfId="0" applyNumberFormat="1" applyFont="1" applyFill="1" applyBorder="1" applyAlignment="1" applyProtection="1">
      <alignment horizontal="right"/>
    </xf>
    <xf numFmtId="38" fontId="20" fillId="0" borderId="59" xfId="0" applyNumberFormat="1" applyFont="1" applyFill="1" applyBorder="1" applyAlignment="1" applyProtection="1">
      <alignment horizontal="center"/>
    </xf>
    <xf numFmtId="38" fontId="20" fillId="0" borderId="72" xfId="0" applyNumberFormat="1" applyFont="1" applyFill="1" applyBorder="1" applyAlignment="1" applyProtection="1">
      <alignment horizontal="center"/>
    </xf>
    <xf numFmtId="0" fontId="20" fillId="0" borderId="67" xfId="0" applyFont="1" applyBorder="1" applyAlignment="1">
      <alignment horizontal="left" vertical="center" wrapText="1"/>
    </xf>
    <xf numFmtId="38" fontId="20" fillId="0" borderId="72" xfId="0" applyNumberFormat="1" applyFont="1" applyFill="1" applyBorder="1" applyAlignment="1" applyProtection="1">
      <alignment horizontal="left" vertical="center"/>
    </xf>
    <xf numFmtId="38" fontId="20" fillId="0" borderId="72" xfId="0" applyNumberFormat="1" applyFont="1" applyFill="1" applyBorder="1" applyAlignment="1" applyProtection="1">
      <alignment vertical="center"/>
    </xf>
    <xf numFmtId="3" fontId="20" fillId="0" borderId="72" xfId="0" applyNumberFormat="1" applyFont="1" applyFill="1" applyBorder="1" applyAlignment="1" applyProtection="1">
      <alignment horizontal="right" vertical="center" wrapText="1"/>
    </xf>
    <xf numFmtId="3" fontId="20" fillId="0" borderId="73" xfId="0" applyNumberFormat="1" applyFont="1" applyFill="1" applyBorder="1" applyAlignment="1" applyProtection="1">
      <alignment horizontal="right" vertical="center" wrapText="1"/>
    </xf>
    <xf numFmtId="166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/>
      <protection locked="0"/>
    </xf>
    <xf numFmtId="38" fontId="20" fillId="0" borderId="72" xfId="0" applyNumberFormat="1" applyFont="1" applyFill="1" applyBorder="1" applyAlignment="1" applyProtection="1">
      <alignment horizontal="right"/>
      <protection locked="0"/>
    </xf>
    <xf numFmtId="0" fontId="29" fillId="0" borderId="67" xfId="0" applyFont="1" applyBorder="1" applyAlignment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left" vertical="center"/>
    </xf>
    <xf numFmtId="38" fontId="29" fillId="0" borderId="72" xfId="0" applyNumberFormat="1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/>
      <protection locked="0"/>
    </xf>
    <xf numFmtId="3" fontId="29" fillId="0" borderId="73" xfId="0" applyNumberFormat="1" applyFont="1" applyFill="1" applyBorder="1" applyAlignment="1" applyProtection="1">
      <alignment horizontal="right" vertical="center"/>
      <protection locked="0"/>
    </xf>
    <xf numFmtId="38" fontId="29" fillId="0" borderId="67" xfId="0" applyNumberFormat="1" applyFont="1" applyFill="1" applyBorder="1" applyAlignment="1" applyProtection="1">
      <alignment horizontal="right" vertical="center"/>
      <protection locked="0"/>
    </xf>
    <xf numFmtId="3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left"/>
      <protection locked="0"/>
    </xf>
    <xf numFmtId="0" fontId="21" fillId="10" borderId="67" xfId="0" applyFont="1" applyFill="1" applyBorder="1" applyAlignment="1">
      <alignment horizontal="lef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</xf>
    <xf numFmtId="38" fontId="21" fillId="10" borderId="72" xfId="0" applyNumberFormat="1" applyFont="1" applyFill="1" applyBorder="1" applyAlignment="1" applyProtection="1">
      <alignment vertical="center"/>
    </xf>
    <xf numFmtId="3" fontId="30" fillId="10" borderId="72" xfId="0" applyNumberFormat="1" applyFont="1" applyFill="1" applyBorder="1" applyAlignment="1" applyProtection="1">
      <alignment horizontal="right" vertical="center" wrapText="1"/>
    </xf>
    <xf numFmtId="38" fontId="30" fillId="10" borderId="67" xfId="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 vertical="center"/>
      <protection locked="0"/>
    </xf>
    <xf numFmtId="166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0" applyNumberFormat="1" applyFont="1" applyFill="1" applyBorder="1" applyAlignment="1" applyProtection="1">
      <alignment vertical="center" wrapText="1"/>
    </xf>
    <xf numFmtId="3" fontId="21" fillId="10" borderId="72" xfId="0" applyNumberFormat="1" applyFont="1" applyFill="1" applyBorder="1" applyAlignment="1" applyProtection="1">
      <alignment horizontal="right" vertical="center" wrapText="1"/>
    </xf>
    <xf numFmtId="38" fontId="21" fillId="10" borderId="67" xfId="0" applyNumberFormat="1" applyFont="1" applyFill="1" applyBorder="1" applyAlignment="1" applyProtection="1">
      <alignment horizontal="right" vertical="center" wrapText="1"/>
    </xf>
    <xf numFmtId="3" fontId="21" fillId="8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10" borderId="73" xfId="0" applyNumberFormat="1" applyFont="1" applyFill="1" applyBorder="1" applyAlignment="1" applyProtection="1">
      <alignment horizontal="right" vertical="center" wrapText="1"/>
    </xf>
    <xf numFmtId="38" fontId="29" fillId="0" borderId="72" xfId="0" applyNumberFormat="1" applyFont="1" applyFill="1" applyBorder="1" applyAlignment="1" applyProtection="1">
      <alignment horizontal="right" vertical="center"/>
    </xf>
    <xf numFmtId="3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9" fillId="0" borderId="72" xfId="0" applyNumberFormat="1" applyFont="1" applyFill="1" applyBorder="1" applyAlignment="1" applyProtection="1">
      <alignment horizontal="right"/>
      <protection locked="0"/>
    </xf>
    <xf numFmtId="3" fontId="29" fillId="0" borderId="73" xfId="0" applyNumberFormat="1" applyFont="1" applyFill="1" applyBorder="1" applyAlignment="1" applyProtection="1">
      <alignment horizontal="right" vertical="center" wrapText="1"/>
    </xf>
    <xf numFmtId="3" fontId="29" fillId="0" borderId="67" xfId="0" applyNumberFormat="1" applyFont="1" applyFill="1" applyBorder="1" applyAlignment="1" applyProtection="1">
      <alignment horizontal="right" vertical="center"/>
      <protection locked="0"/>
    </xf>
    <xf numFmtId="0" fontId="29" fillId="0" borderId="72" xfId="0" applyFont="1" applyFill="1" applyBorder="1" applyAlignment="1" applyProtection="1">
      <alignment horizontal="right" vertical="center"/>
    </xf>
    <xf numFmtId="0" fontId="29" fillId="0" borderId="72" xfId="0" applyFont="1" applyFill="1" applyBorder="1" applyAlignment="1" applyProtection="1">
      <alignment vertical="center"/>
    </xf>
    <xf numFmtId="3" fontId="29" fillId="0" borderId="72" xfId="0" applyNumberFormat="1" applyFont="1" applyFill="1" applyBorder="1" applyAlignment="1" applyProtection="1">
      <alignment horizontal="right" vertical="center" wrapText="1"/>
    </xf>
    <xf numFmtId="0" fontId="29" fillId="0" borderId="72" xfId="0" applyFont="1" applyFill="1" applyBorder="1" applyAlignment="1" applyProtection="1">
      <alignment horizontal="right"/>
      <protection locked="0"/>
    </xf>
    <xf numFmtId="38" fontId="29" fillId="0" borderId="72" xfId="0" applyNumberFormat="1" applyFont="1" applyFill="1" applyBorder="1" applyAlignment="1" applyProtection="1">
      <alignment horizontal="right" vertical="center"/>
      <protection locked="0"/>
    </xf>
    <xf numFmtId="166" fontId="29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0" fillId="0" borderId="69" xfId="0" applyNumberFormat="1" applyFont="1" applyFill="1" applyBorder="1" applyAlignment="1" applyProtection="1">
      <alignment horizontal="left"/>
      <protection locked="0"/>
    </xf>
    <xf numFmtId="3" fontId="21" fillId="9" borderId="67" xfId="10" quotePrefix="1" applyNumberFormat="1" applyFont="1" applyFill="1" applyBorder="1" applyAlignment="1" applyProtection="1">
      <alignment horizontal="right" vertical="center" wrapText="1"/>
      <protection locked="0"/>
    </xf>
    <xf numFmtId="0" fontId="20" fillId="10" borderId="67" xfId="0" applyFont="1" applyFill="1" applyBorder="1" applyAlignment="1">
      <alignment horizontal="left" vertical="center" wrapText="1"/>
    </xf>
    <xf numFmtId="38" fontId="20" fillId="10" borderId="72" xfId="0" applyNumberFormat="1" applyFont="1" applyFill="1" applyBorder="1" applyAlignment="1" applyProtection="1">
      <alignment horizontal="left" vertical="center"/>
    </xf>
    <xf numFmtId="38" fontId="20" fillId="10" borderId="72" xfId="0" applyNumberFormat="1" applyFont="1" applyFill="1" applyBorder="1" applyAlignment="1" applyProtection="1">
      <alignment vertical="center"/>
    </xf>
    <xf numFmtId="3" fontId="20" fillId="10" borderId="72" xfId="0" applyNumberFormat="1" applyFont="1" applyFill="1" applyBorder="1" applyAlignment="1" applyProtection="1">
      <alignment horizontal="right" vertical="center" wrapText="1"/>
    </xf>
    <xf numFmtId="38" fontId="20" fillId="10" borderId="72" xfId="0" applyNumberFormat="1" applyFont="1" applyFill="1" applyBorder="1" applyAlignment="1" applyProtection="1">
      <alignment horizontal="left"/>
      <protection locked="0"/>
    </xf>
    <xf numFmtId="0" fontId="21" fillId="0" borderId="67" xfId="0" applyFont="1" applyBorder="1" applyAlignment="1">
      <alignment horizontal="left" vertical="center" wrapText="1"/>
    </xf>
    <xf numFmtId="38" fontId="21" fillId="0" borderId="72" xfId="0" applyNumberFormat="1" applyFont="1" applyFill="1" applyBorder="1" applyAlignment="1" applyProtection="1">
      <alignment horizontal="left" vertical="center"/>
    </xf>
    <xf numFmtId="38" fontId="21" fillId="0" borderId="72" xfId="0" applyNumberFormat="1" applyFont="1" applyFill="1" applyBorder="1" applyAlignment="1" applyProtection="1">
      <alignment vertical="center"/>
    </xf>
    <xf numFmtId="3" fontId="21" fillId="0" borderId="72" xfId="0" applyNumberFormat="1" applyFont="1" applyFill="1" applyBorder="1" applyAlignment="1" applyProtection="1">
      <alignment horizontal="right" vertical="center"/>
      <protection locked="0"/>
    </xf>
    <xf numFmtId="3" fontId="21" fillId="0" borderId="73" xfId="0" applyNumberFormat="1" applyFont="1" applyFill="1" applyBorder="1" applyAlignment="1" applyProtection="1">
      <alignment horizontal="right" vertical="center"/>
      <protection locked="0"/>
    </xf>
    <xf numFmtId="38" fontId="21" fillId="0" borderId="67" xfId="0" applyNumberFormat="1" applyFont="1" applyFill="1" applyBorder="1" applyAlignment="1" applyProtection="1">
      <alignment horizontal="right" vertical="center"/>
      <protection locked="0"/>
    </xf>
    <xf numFmtId="3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72" xfId="0" applyNumberFormat="1" applyFont="1" applyFill="1" applyBorder="1" applyAlignment="1" applyProtection="1">
      <alignment horizontal="right" vertical="center"/>
    </xf>
    <xf numFmtId="38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2" xfId="0" applyNumberFormat="1" applyFont="1" applyFill="1" applyBorder="1" applyAlignment="1" applyProtection="1">
      <alignment horizontal="right" vertical="center" wrapText="1"/>
    </xf>
    <xf numFmtId="3" fontId="30" fillId="0" borderId="73" xfId="0" applyNumberFormat="1" applyFont="1" applyFill="1" applyBorder="1" applyAlignment="1" applyProtection="1">
      <alignment horizontal="right" vertical="center" wrapText="1"/>
    </xf>
    <xf numFmtId="166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0" borderId="72" xfId="0" applyNumberFormat="1" applyFont="1" applyFill="1" applyBorder="1" applyAlignment="1" applyProtection="1">
      <alignment horizontal="left"/>
      <protection locked="0"/>
    </xf>
    <xf numFmtId="38" fontId="21" fillId="10" borderId="72" xfId="0" applyNumberFormat="1" applyFont="1" applyFill="1" applyBorder="1" applyAlignment="1" applyProtection="1">
      <alignment horizontal="left"/>
      <protection locked="0"/>
    </xf>
    <xf numFmtId="0" fontId="29" fillId="0" borderId="67" xfId="0" applyFont="1" applyFill="1" applyBorder="1" applyAlignment="1" applyProtection="1">
      <alignment horizontal="right" vertical="center"/>
      <protection locked="0"/>
    </xf>
    <xf numFmtId="0" fontId="30" fillId="10" borderId="67" xfId="0" applyFont="1" applyFill="1" applyBorder="1" applyAlignment="1" applyProtection="1">
      <alignment horizontal="right" vertical="center" wrapText="1"/>
    </xf>
    <xf numFmtId="3" fontId="21" fillId="10" borderId="67" xfId="0" applyNumberFormat="1" applyFont="1" applyFill="1" applyBorder="1" applyAlignment="1" applyProtection="1">
      <alignment horizontal="right" vertical="center" wrapText="1"/>
    </xf>
    <xf numFmtId="3" fontId="29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29" fillId="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3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9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2" xfId="0" applyNumberFormat="1" applyFont="1" applyFill="1" applyBorder="1" applyAlignment="1" applyProtection="1">
      <alignment horizontal="left" vertical="center"/>
      <protection locked="0"/>
    </xf>
    <xf numFmtId="38" fontId="20" fillId="0" borderId="67" xfId="0" applyNumberFormat="1" applyFont="1" applyFill="1" applyBorder="1" applyAlignment="1" applyProtection="1">
      <alignment horizontal="right" vertical="center"/>
      <protection locked="0"/>
    </xf>
    <xf numFmtId="3" fontId="20" fillId="10" borderId="73" xfId="0" applyNumberFormat="1" applyFont="1" applyFill="1" applyBorder="1" applyAlignment="1" applyProtection="1">
      <alignment horizontal="right" vertical="center" wrapText="1"/>
    </xf>
    <xf numFmtId="3" fontId="20" fillId="10" borderId="67" xfId="0" applyNumberFormat="1" applyFont="1" applyFill="1" applyBorder="1" applyAlignment="1" applyProtection="1">
      <alignment horizontal="right" vertical="center" wrapText="1"/>
    </xf>
    <xf numFmtId="3" fontId="20" fillId="0" borderId="72" xfId="0" applyNumberFormat="1" applyFont="1" applyFill="1" applyBorder="1" applyAlignment="1" applyProtection="1">
      <alignment horizontal="right" vertical="center"/>
      <protection locked="0"/>
    </xf>
    <xf numFmtId="3" fontId="20" fillId="0" borderId="73" xfId="0" applyNumberFormat="1" applyFont="1" applyFill="1" applyBorder="1" applyAlignment="1" applyProtection="1">
      <alignment horizontal="right" vertical="center"/>
      <protection locked="0"/>
    </xf>
    <xf numFmtId="166" fontId="20" fillId="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72" xfId="0" applyNumberFormat="1" applyFont="1" applyFill="1" applyBorder="1" applyAlignment="1" applyProtection="1">
      <alignment horizontal="right" vertical="center" wrapText="1"/>
    </xf>
    <xf numFmtId="3" fontId="29" fillId="10" borderId="73" xfId="0" applyNumberFormat="1" applyFont="1" applyFill="1" applyBorder="1" applyAlignment="1" applyProtection="1">
      <alignment horizontal="right" vertical="center" wrapText="1"/>
    </xf>
    <xf numFmtId="3" fontId="29" fillId="10" borderId="67" xfId="0" applyNumberFormat="1" applyFont="1" applyFill="1" applyBorder="1" applyAlignment="1" applyProtection="1">
      <alignment horizontal="right" vertical="center" wrapText="1"/>
    </xf>
    <xf numFmtId="0" fontId="29" fillId="0" borderId="69" xfId="0" applyFont="1" applyFill="1" applyBorder="1" applyAlignment="1" applyProtection="1">
      <alignment horizontal="right"/>
      <protection locked="0"/>
    </xf>
    <xf numFmtId="0" fontId="20" fillId="10" borderId="72" xfId="0" applyFont="1" applyFill="1" applyBorder="1" applyAlignment="1" applyProtection="1">
      <alignment horizontal="left" vertical="center"/>
    </xf>
    <xf numFmtId="0" fontId="20" fillId="10" borderId="72" xfId="0" applyFont="1" applyFill="1" applyBorder="1" applyAlignment="1" applyProtection="1">
      <alignment vertical="center"/>
    </xf>
    <xf numFmtId="0" fontId="20" fillId="10" borderId="72" xfId="0" applyFont="1" applyFill="1" applyBorder="1" applyAlignment="1" applyProtection="1">
      <alignment horizontal="left"/>
    </xf>
    <xf numFmtId="0" fontId="29" fillId="0" borderId="72" xfId="0" applyFont="1" applyFill="1" applyBorder="1" applyAlignment="1" applyProtection="1">
      <alignment horizontal="right" vertical="center"/>
      <protection locked="0"/>
    </xf>
    <xf numFmtId="3" fontId="20" fillId="10" borderId="67" xfId="10" quotePrefix="1" applyNumberFormat="1" applyFont="1" applyFill="1" applyBorder="1" applyAlignment="1" applyProtection="1">
      <alignment horizontal="left" vertical="center" wrapText="1"/>
    </xf>
    <xf numFmtId="3" fontId="20" fillId="10" borderId="67" xfId="10" quotePrefix="1" applyNumberFormat="1" applyFont="1" applyFill="1" applyBorder="1" applyAlignment="1" applyProtection="1">
      <alignment horizontal="right" vertical="center" wrapText="1"/>
    </xf>
    <xf numFmtId="38" fontId="20" fillId="10" borderId="72" xfId="0" applyNumberFormat="1" applyFont="1" applyFill="1" applyBorder="1" applyAlignment="1" applyProtection="1">
      <alignment horizontal="left"/>
    </xf>
    <xf numFmtId="38" fontId="29" fillId="10" borderId="67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horizontal="right" vertical="center"/>
    </xf>
    <xf numFmtId="38" fontId="29" fillId="10" borderId="72" xfId="0" applyNumberFormat="1" applyFont="1" applyFill="1" applyBorder="1" applyAlignment="1" applyProtection="1">
      <alignment vertical="center"/>
    </xf>
    <xf numFmtId="166" fontId="29" fillId="10" borderId="67" xfId="10" quotePrefix="1" applyNumberFormat="1" applyFont="1" applyFill="1" applyBorder="1" applyAlignment="1" applyProtection="1">
      <alignment horizontal="right" vertical="center" wrapText="1"/>
    </xf>
    <xf numFmtId="3" fontId="29" fillId="10" borderId="67" xfId="10" quotePrefix="1" applyNumberFormat="1" applyFont="1" applyFill="1" applyBorder="1" applyAlignment="1" applyProtection="1">
      <alignment horizontal="right" vertical="center" wrapText="1"/>
    </xf>
    <xf numFmtId="38" fontId="29" fillId="10" borderId="72" xfId="0" applyNumberFormat="1" applyFont="1" applyFill="1" applyBorder="1" applyAlignment="1" applyProtection="1">
      <alignment horizontal="right"/>
    </xf>
    <xf numFmtId="3" fontId="29" fillId="10" borderId="67" xfId="10" applyNumberFormat="1" applyFont="1" applyFill="1" applyBorder="1" applyAlignment="1" applyProtection="1">
      <alignment horizontal="right" vertical="center" wrapText="1"/>
    </xf>
    <xf numFmtId="3" fontId="30" fillId="10" borderId="73" xfId="0" applyNumberFormat="1" applyFont="1" applyFill="1" applyBorder="1" applyAlignment="1" applyProtection="1">
      <alignment horizontal="right" vertical="center" wrapText="1"/>
    </xf>
    <xf numFmtId="3" fontId="30" fillId="10" borderId="67" xfId="0" applyNumberFormat="1" applyFont="1" applyFill="1" applyBorder="1" applyAlignment="1" applyProtection="1">
      <alignment horizontal="right" vertical="center" wrapText="1"/>
    </xf>
    <xf numFmtId="38" fontId="30" fillId="0" borderId="72" xfId="0" applyNumberFormat="1" applyFont="1" applyFill="1" applyBorder="1" applyAlignment="1" applyProtection="1">
      <alignment horizontal="left" vertical="center"/>
    </xf>
    <xf numFmtId="38" fontId="30" fillId="0" borderId="72" xfId="0" applyNumberFormat="1" applyFont="1" applyFill="1" applyBorder="1" applyAlignment="1" applyProtection="1">
      <alignment vertical="center"/>
    </xf>
    <xf numFmtId="3" fontId="30" fillId="0" borderId="72" xfId="0" applyNumberFormat="1" applyFont="1" applyFill="1" applyBorder="1" applyAlignment="1" applyProtection="1">
      <alignment horizontal="right" vertical="center"/>
      <protection locked="0"/>
    </xf>
    <xf numFmtId="3" fontId="30" fillId="0" borderId="73" xfId="0" applyNumberFormat="1" applyFont="1" applyFill="1" applyBorder="1" applyAlignment="1" applyProtection="1">
      <alignment horizontal="right" vertical="center"/>
      <protection locked="0"/>
    </xf>
    <xf numFmtId="38" fontId="30" fillId="0" borderId="67" xfId="0" applyNumberFormat="1" applyFont="1" applyFill="1" applyBorder="1" applyAlignment="1" applyProtection="1">
      <alignment horizontal="right" vertical="center"/>
      <protection locked="0"/>
    </xf>
    <xf numFmtId="3" fontId="3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38" fontId="30" fillId="0" borderId="72" xfId="0" applyNumberFormat="1" applyFont="1" applyFill="1" applyBorder="1" applyAlignment="1" applyProtection="1">
      <alignment horizontal="left"/>
      <protection locked="0"/>
    </xf>
    <xf numFmtId="3" fontId="21" fillId="0" borderId="72" xfId="0" applyNumberFormat="1" applyFont="1" applyFill="1" applyBorder="1" applyAlignment="1" applyProtection="1">
      <alignment horizontal="right" vertical="center" wrapText="1"/>
    </xf>
    <xf numFmtId="0" fontId="20" fillId="0" borderId="72" xfId="0" applyFont="1" applyFill="1" applyBorder="1" applyAlignment="1" applyProtection="1">
      <alignment horizontal="right" vertical="center"/>
    </xf>
    <xf numFmtId="0" fontId="20" fillId="0" borderId="72" xfId="0" applyFont="1" applyFill="1" applyBorder="1" applyAlignment="1" applyProtection="1">
      <alignment vertical="center"/>
    </xf>
    <xf numFmtId="0" fontId="20" fillId="0" borderId="72" xfId="0" applyFont="1" applyFill="1" applyBorder="1" applyAlignment="1" applyProtection="1">
      <alignment horizontal="right"/>
      <protection locked="0"/>
    </xf>
    <xf numFmtId="166" fontId="21" fillId="0" borderId="67" xfId="10" applyNumberFormat="1" applyFont="1" applyFill="1" applyBorder="1" applyAlignment="1" applyProtection="1">
      <alignment horizontal="right" vertical="center" wrapText="1"/>
      <protection locked="0"/>
    </xf>
    <xf numFmtId="38" fontId="21" fillId="10" borderId="72" xfId="0" applyNumberFormat="1" applyFont="1" applyFill="1" applyBorder="1" applyAlignment="1" applyProtection="1">
      <alignment horizontal="left" vertical="center" wrapText="1"/>
    </xf>
    <xf numFmtId="3" fontId="20" fillId="0" borderId="72" xfId="0" applyNumberFormat="1" applyFont="1" applyFill="1" applyBorder="1" applyAlignment="1" applyProtection="1">
      <alignment horizontal="right" vertical="center"/>
    </xf>
    <xf numFmtId="3" fontId="20" fillId="0" borderId="73" xfId="0" applyNumberFormat="1" applyFont="1" applyFill="1" applyBorder="1" applyAlignment="1" applyProtection="1">
      <alignment horizontal="right" vertical="center"/>
    </xf>
    <xf numFmtId="166" fontId="20" fillId="0" borderId="67" xfId="10" applyNumberFormat="1" applyFont="1" applyFill="1" applyBorder="1" applyAlignment="1" applyProtection="1">
      <alignment horizontal="right" vertical="center" wrapText="1"/>
    </xf>
    <xf numFmtId="38" fontId="20" fillId="0" borderId="72" xfId="0" applyNumberFormat="1" applyFont="1" applyFill="1" applyBorder="1" applyAlignment="1" applyProtection="1">
      <alignment horizontal="left"/>
    </xf>
    <xf numFmtId="166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3" fontId="20" fillId="10" borderId="67" xfId="10" applyNumberFormat="1" applyFont="1" applyFill="1" applyBorder="1" applyAlignment="1" applyProtection="1">
      <alignment horizontal="right" vertical="center" wrapText="1"/>
      <protection locked="0"/>
    </xf>
    <xf numFmtId="166" fontId="20" fillId="10" borderId="67" xfId="10" applyNumberFormat="1" applyFont="1" applyFill="1" applyBorder="1" applyAlignment="1" applyProtection="1">
      <alignment horizontal="right" vertical="center" wrapText="1"/>
    </xf>
    <xf numFmtId="0" fontId="20" fillId="0" borderId="67" xfId="0" applyFont="1" applyFill="1" applyBorder="1" applyAlignment="1">
      <alignment horizontal="left" vertical="center" wrapText="1"/>
    </xf>
    <xf numFmtId="3" fontId="35" fillId="0" borderId="73" xfId="0" applyNumberFormat="1" applyFont="1" applyFill="1" applyBorder="1" applyAlignment="1" applyProtection="1">
      <alignment horizontal="right" vertical="center" wrapText="1"/>
    </xf>
    <xf numFmtId="3" fontId="20" fillId="0" borderId="67" xfId="10" applyNumberFormat="1" applyFont="1" applyFill="1" applyBorder="1" applyAlignment="1" applyProtection="1">
      <alignment horizontal="right" vertical="center" wrapText="1"/>
    </xf>
    <xf numFmtId="38" fontId="21" fillId="10" borderId="72" xfId="0" applyNumberFormat="1" applyFont="1" applyFill="1" applyBorder="1" applyAlignment="1" applyProtection="1">
      <alignment horizontal="left"/>
    </xf>
    <xf numFmtId="3" fontId="21" fillId="10" borderId="72" xfId="10" applyNumberFormat="1" applyFont="1" applyFill="1" applyBorder="1" applyAlignment="1" applyProtection="1">
      <alignment horizontal="right" vertical="center" wrapText="1"/>
    </xf>
    <xf numFmtId="3" fontId="21" fillId="10" borderId="67" xfId="10" applyNumberFormat="1" applyFont="1" applyFill="1" applyBorder="1" applyAlignment="1" applyProtection="1">
      <alignment horizontal="right" vertical="center" wrapText="1"/>
    </xf>
    <xf numFmtId="166" fontId="30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21" fillId="0" borderId="72" xfId="0" applyNumberFormat="1" applyFont="1" applyFill="1" applyBorder="1" applyAlignment="1" applyProtection="1">
      <alignment horizontal="right" vertical="center"/>
    </xf>
    <xf numFmtId="166" fontId="21" fillId="0" borderId="67" xfId="10" applyNumberFormat="1" applyFont="1" applyFill="1" applyBorder="1" applyAlignment="1" applyProtection="1">
      <alignment horizontal="right" vertical="center" wrapText="1"/>
    </xf>
    <xf numFmtId="38" fontId="21" fillId="10" borderId="65" xfId="0" applyNumberFormat="1" applyFont="1" applyFill="1" applyBorder="1" applyAlignment="1" applyProtection="1">
      <alignment horizontal="right" vertical="center"/>
    </xf>
    <xf numFmtId="38" fontId="21" fillId="10" borderId="74" xfId="0" applyNumberFormat="1" applyFont="1" applyFill="1" applyBorder="1" applyAlignment="1" applyProtection="1">
      <alignment horizontal="left" vertical="center"/>
    </xf>
    <xf numFmtId="3" fontId="21" fillId="10" borderId="74" xfId="10" applyNumberFormat="1" applyFont="1" applyFill="1" applyBorder="1" applyAlignment="1" applyProtection="1">
      <alignment horizontal="right" vertical="center" wrapText="1"/>
    </xf>
    <xf numFmtId="3" fontId="21" fillId="10" borderId="65" xfId="10" applyNumberFormat="1" applyFont="1" applyFill="1" applyBorder="1" applyAlignment="1" applyProtection="1">
      <alignment horizontal="right" vertical="center" wrapText="1"/>
    </xf>
    <xf numFmtId="38" fontId="21" fillId="10" borderId="78" xfId="0" applyNumberFormat="1" applyFont="1" applyFill="1" applyBorder="1" applyAlignment="1" applyProtection="1">
      <alignment horizontal="right" vertical="center"/>
    </xf>
    <xf numFmtId="38" fontId="21" fillId="10" borderId="80" xfId="0" applyNumberFormat="1" applyFont="1" applyFill="1" applyBorder="1" applyAlignment="1" applyProtection="1">
      <alignment horizontal="left" vertical="center"/>
    </xf>
    <xf numFmtId="38" fontId="21" fillId="10" borderId="89" xfId="0" applyNumberFormat="1" applyFont="1" applyFill="1" applyBorder="1" applyAlignment="1" applyProtection="1">
      <alignment vertical="center"/>
    </xf>
    <xf numFmtId="3" fontId="21" fillId="10" borderId="89" xfId="10" applyNumberFormat="1" applyFont="1" applyFill="1" applyBorder="1" applyAlignment="1" applyProtection="1">
      <alignment horizontal="right" vertical="center" wrapText="1"/>
    </xf>
    <xf numFmtId="3" fontId="21" fillId="10" borderId="0" xfId="10" applyNumberFormat="1" applyFont="1" applyFill="1" applyBorder="1" applyAlignment="1" applyProtection="1">
      <alignment horizontal="right" vertical="center" wrapText="1"/>
    </xf>
    <xf numFmtId="3" fontId="21" fillId="10" borderId="78" xfId="10" applyNumberFormat="1" applyFont="1" applyFill="1" applyBorder="1" applyAlignment="1" applyProtection="1">
      <alignment horizontal="right" vertical="center" wrapText="1"/>
    </xf>
    <xf numFmtId="3" fontId="20" fillId="8" borderId="78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8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90" xfId="0" applyNumberFormat="1" applyFont="1" applyFill="1" applyBorder="1" applyAlignment="1" applyProtection="1"/>
    <xf numFmtId="3" fontId="20" fillId="0" borderId="90" xfId="0" applyNumberFormat="1" applyFont="1" applyFill="1" applyBorder="1" applyAlignment="1" applyProtection="1">
      <alignment horizontal="left"/>
    </xf>
    <xf numFmtId="166" fontId="20" fillId="0" borderId="72" xfId="0" applyNumberFormat="1" applyFont="1" applyFill="1" applyBorder="1" applyAlignment="1" applyProtection="1">
      <alignment horizontal="left"/>
      <protection locked="0"/>
    </xf>
    <xf numFmtId="166" fontId="20" fillId="8" borderId="72" xfId="0" applyNumberFormat="1" applyFont="1" applyFill="1" applyBorder="1" applyAlignment="1" applyProtection="1">
      <alignment horizontal="left"/>
      <protection locked="0"/>
    </xf>
    <xf numFmtId="166" fontId="20" fillId="9" borderId="72" xfId="0" applyNumberFormat="1" applyFont="1" applyFill="1" applyBorder="1" applyAlignment="1" applyProtection="1">
      <alignment horizontal="left"/>
      <protection locked="0"/>
    </xf>
    <xf numFmtId="3" fontId="35" fillId="0" borderId="90" xfId="0" applyNumberFormat="1" applyFont="1" applyFill="1" applyBorder="1" applyAlignment="1" applyProtection="1">
      <alignment horizontal="left"/>
    </xf>
    <xf numFmtId="9" fontId="20" fillId="0" borderId="90" xfId="6" applyFont="1" applyFill="1" applyBorder="1" applyAlignment="1" applyProtection="1">
      <alignment horizontal="left"/>
    </xf>
    <xf numFmtId="167" fontId="29" fillId="0" borderId="72" xfId="5" applyNumberFormat="1" applyFont="1" applyFill="1" applyBorder="1" applyAlignment="1" applyProtection="1">
      <alignment vertical="center"/>
    </xf>
    <xf numFmtId="0" fontId="29" fillId="0" borderId="72" xfId="0" applyFont="1" applyBorder="1" applyAlignment="1">
      <alignment horizontal="left" vertical="center" wrapText="1"/>
    </xf>
    <xf numFmtId="49" fontId="38" fillId="0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38" fillId="0" borderId="25" xfId="7" applyFont="1" applyFill="1" applyBorder="1" applyAlignment="1" applyProtection="1">
      <alignment horizontal="left" vertical="center"/>
    </xf>
    <xf numFmtId="0" fontId="38" fillId="0" borderId="26" xfId="7" applyFont="1" applyFill="1" applyBorder="1" applyAlignment="1" applyProtection="1">
      <alignment horizontal="left" vertical="center"/>
    </xf>
    <xf numFmtId="3" fontId="38" fillId="0" borderId="26" xfId="0" applyNumberFormat="1" applyFont="1" applyFill="1" applyBorder="1" applyAlignment="1" applyProtection="1">
      <alignment horizontal="right" vertical="center"/>
    </xf>
    <xf numFmtId="49" fontId="38" fillId="0" borderId="25" xfId="7" applyNumberFormat="1" applyFont="1" applyFill="1" applyBorder="1" applyAlignment="1" applyProtection="1">
      <alignment horizontal="left" vertical="center"/>
    </xf>
    <xf numFmtId="49" fontId="38" fillId="0" borderId="33" xfId="7" applyNumberFormat="1" applyFont="1" applyFill="1" applyBorder="1" applyAlignment="1" applyProtection="1">
      <alignment horizontal="left" vertical="center"/>
    </xf>
    <xf numFmtId="0" fontId="38" fillId="0" borderId="1" xfId="7" applyFont="1" applyFill="1" applyBorder="1" applyAlignment="1" applyProtection="1">
      <alignment horizontal="left" vertical="center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horizontal="left" vertical="center"/>
    </xf>
    <xf numFmtId="3" fontId="39" fillId="0" borderId="26" xfId="0" applyNumberFormat="1" applyFont="1" applyFill="1" applyBorder="1" applyAlignment="1" applyProtection="1">
      <alignment horizontal="righ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center" vertical="center"/>
    </xf>
    <xf numFmtId="0" fontId="39" fillId="0" borderId="1" xfId="8" applyFont="1" applyFill="1" applyBorder="1" applyAlignment="1" applyProtection="1">
      <alignment horizontal="left" vertical="center" wrapText="1"/>
    </xf>
    <xf numFmtId="0" fontId="39" fillId="7" borderId="25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left" vertical="center"/>
    </xf>
    <xf numFmtId="0" fontId="39" fillId="7" borderId="26" xfId="7" applyFont="1" applyFill="1" applyBorder="1" applyAlignment="1" applyProtection="1">
      <alignment horizontal="center" vertical="center"/>
    </xf>
    <xf numFmtId="49" fontId="39" fillId="0" borderId="1" xfId="8" applyNumberFormat="1" applyFont="1" applyFill="1" applyBorder="1" applyAlignment="1" applyProtection="1">
      <alignment horizontal="left" vertical="center" wrapText="1"/>
    </xf>
    <xf numFmtId="0" fontId="39" fillId="0" borderId="1" xfId="7" applyFont="1" applyFill="1" applyBorder="1" applyAlignment="1" applyProtection="1">
      <alignment horizontal="left" vertical="center"/>
    </xf>
    <xf numFmtId="49" fontId="40" fillId="0" borderId="1" xfId="8" applyNumberFormat="1" applyFont="1" applyFill="1" applyBorder="1" applyAlignment="1" applyProtection="1">
      <alignment horizontal="left" vertical="center" wrapText="1"/>
    </xf>
    <xf numFmtId="0" fontId="40" fillId="0" borderId="1" xfId="7" applyFont="1" applyFill="1" applyBorder="1" applyAlignment="1" applyProtection="1">
      <alignment horizontal="left" vertical="center"/>
    </xf>
    <xf numFmtId="0" fontId="0" fillId="0" borderId="37" xfId="0" applyBorder="1"/>
    <xf numFmtId="0" fontId="39" fillId="0" borderId="26" xfId="7" applyFont="1" applyFill="1" applyBorder="1" applyAlignment="1" applyProtection="1">
      <alignment horizontal="left" vertical="center" shrinkToFit="1"/>
    </xf>
    <xf numFmtId="0" fontId="39" fillId="0" borderId="39" xfId="7" applyFont="1" applyFill="1" applyBorder="1" applyAlignment="1" applyProtection="1">
      <alignment horizontal="left" vertical="center"/>
    </xf>
    <xf numFmtId="0" fontId="39" fillId="0" borderId="40" xfId="7" applyFont="1" applyFill="1" applyBorder="1" applyAlignment="1" applyProtection="1">
      <alignment horizontal="center" vertical="center"/>
    </xf>
    <xf numFmtId="0" fontId="39" fillId="0" borderId="40" xfId="7" applyFont="1" applyFill="1" applyBorder="1" applyAlignment="1" applyProtection="1">
      <alignment horizontal="left" vertical="center"/>
    </xf>
    <xf numFmtId="3" fontId="39" fillId="0" borderId="40" xfId="0" applyNumberFormat="1" applyFont="1" applyFill="1" applyBorder="1" applyAlignment="1" applyProtection="1">
      <alignment horizontal="right" vertical="center"/>
    </xf>
    <xf numFmtId="0" fontId="38" fillId="0" borderId="25" xfId="7" applyFont="1" applyFill="1" applyBorder="1" applyProtection="1"/>
    <xf numFmtId="0" fontId="38" fillId="0" borderId="33" xfId="7" applyFont="1" applyFill="1" applyBorder="1" applyProtection="1"/>
    <xf numFmtId="0" fontId="39" fillId="0" borderId="26" xfId="0" applyFont="1" applyFill="1" applyBorder="1" applyAlignment="1" applyProtection="1">
      <alignment horizontal="center" vertical="center"/>
    </xf>
    <xf numFmtId="0" fontId="38" fillId="0" borderId="33" xfId="7" applyFont="1" applyFill="1" applyBorder="1" applyAlignment="1" applyProtection="1">
      <alignment horizontal="left" vertical="center"/>
    </xf>
    <xf numFmtId="3" fontId="0" fillId="0" borderId="0" xfId="0" applyNumberFormat="1"/>
    <xf numFmtId="0" fontId="39" fillId="0" borderId="25" xfId="7" applyFont="1" applyFill="1" applyBorder="1" applyAlignment="1" applyProtection="1">
      <alignment horizontal="center" vertical="center"/>
    </xf>
    <xf numFmtId="0" fontId="40" fillId="0" borderId="26" xfId="7" applyFont="1" applyFill="1" applyBorder="1" applyAlignment="1" applyProtection="1">
      <alignment horizontal="left" vertical="center"/>
    </xf>
    <xf numFmtId="3" fontId="40" fillId="0" borderId="26" xfId="7" applyNumberFormat="1" applyFont="1" applyFill="1" applyBorder="1" applyAlignment="1" applyProtection="1">
      <alignment horizontal="right" vertical="center"/>
    </xf>
    <xf numFmtId="3" fontId="40" fillId="0" borderId="26" xfId="0" applyNumberFormat="1" applyFont="1" applyFill="1" applyBorder="1" applyAlignment="1" applyProtection="1">
      <alignment horizontal="right" vertical="center"/>
    </xf>
    <xf numFmtId="0" fontId="40" fillId="0" borderId="1" xfId="7" applyFont="1" applyFill="1" applyBorder="1" applyAlignment="1" applyProtection="1">
      <alignment horizontal="left" vertical="center" wrapText="1" shrinkToFit="1"/>
    </xf>
    <xf numFmtId="0" fontId="39" fillId="0" borderId="26" xfId="7" applyFont="1" applyFill="1" applyBorder="1" applyAlignment="1" applyProtection="1">
      <alignment horizontal="right" vertical="center"/>
    </xf>
    <xf numFmtId="0" fontId="39" fillId="0" borderId="26" xfId="7" applyFont="1" applyFill="1" applyBorder="1" applyAlignment="1" applyProtection="1">
      <alignment horizontal="left" vertical="center" wrapText="1" shrinkToFit="1"/>
    </xf>
    <xf numFmtId="0" fontId="39" fillId="0" borderId="1" xfId="7" applyFont="1" applyFill="1" applyBorder="1" applyAlignment="1" applyProtection="1">
      <alignment horizontal="left" vertical="center" wrapText="1" shrinkToFit="1"/>
    </xf>
    <xf numFmtId="3" fontId="37" fillId="0" borderId="44" xfId="0" applyNumberFormat="1" applyFont="1" applyFill="1" applyBorder="1" applyAlignment="1" applyProtection="1">
      <alignment horizontal="right" vertical="center"/>
    </xf>
    <xf numFmtId="0" fontId="38" fillId="0" borderId="14" xfId="7" applyFont="1" applyFill="1" applyBorder="1" applyAlignment="1" applyProtection="1">
      <alignment vertical="center"/>
    </xf>
    <xf numFmtId="0" fontId="38" fillId="0" borderId="16" xfId="7" applyFont="1" applyFill="1" applyBorder="1" applyAlignment="1" applyProtection="1">
      <alignment vertical="top"/>
    </xf>
    <xf numFmtId="3" fontId="39" fillId="0" borderId="15" xfId="0" applyNumberFormat="1" applyFont="1" applyFill="1" applyBorder="1" applyAlignment="1" applyProtection="1">
      <alignment vertical="center"/>
    </xf>
    <xf numFmtId="0" fontId="38" fillId="0" borderId="25" xfId="7" applyFont="1" applyFill="1" applyBorder="1" applyAlignment="1" applyProtection="1">
      <alignment vertical="center"/>
    </xf>
    <xf numFmtId="0" fontId="38" fillId="0" borderId="27" xfId="7" applyFont="1" applyFill="1" applyBorder="1" applyAlignment="1" applyProtection="1">
      <alignment vertical="top"/>
    </xf>
    <xf numFmtId="49" fontId="39" fillId="0" borderId="25" xfId="7" applyNumberFormat="1" applyFont="1" applyFill="1" applyBorder="1" applyAlignment="1" applyProtection="1">
      <alignment vertical="center"/>
    </xf>
    <xf numFmtId="0" fontId="39" fillId="0" borderId="27" xfId="7" applyFont="1" applyFill="1" applyBorder="1" applyAlignment="1" applyProtection="1">
      <alignment vertical="top"/>
    </xf>
    <xf numFmtId="0" fontId="39" fillId="0" borderId="25" xfId="7" applyFont="1" applyFill="1" applyBorder="1" applyAlignment="1" applyProtection="1">
      <alignment vertical="center"/>
    </xf>
    <xf numFmtId="0" fontId="38" fillId="0" borderId="52" xfId="7" applyFont="1" applyFill="1" applyBorder="1" applyAlignment="1" applyProtection="1">
      <alignment horizontal="left" vertical="center"/>
    </xf>
    <xf numFmtId="0" fontId="38" fillId="0" borderId="53" xfId="7" applyFont="1" applyFill="1" applyBorder="1" applyAlignment="1" applyProtection="1">
      <alignment vertical="top"/>
    </xf>
    <xf numFmtId="0" fontId="38" fillId="0" borderId="52" xfId="7" applyFont="1" applyFill="1" applyBorder="1" applyAlignment="1" applyProtection="1">
      <alignment vertical="center"/>
    </xf>
    <xf numFmtId="3" fontId="38" fillId="0" borderId="44" xfId="0" applyNumberFormat="1" applyFont="1" applyFill="1" applyBorder="1" applyAlignment="1" applyProtection="1">
      <alignment horizontal="right" vertical="center"/>
    </xf>
    <xf numFmtId="0" fontId="38" fillId="0" borderId="26" xfId="7" applyFont="1" applyFill="1" applyBorder="1" applyAlignment="1" applyProtection="1">
      <alignment vertical="top"/>
    </xf>
    <xf numFmtId="0" fontId="38" fillId="0" borderId="26" xfId="7" applyFont="1" applyFill="1" applyBorder="1" applyProtection="1"/>
    <xf numFmtId="3" fontId="38" fillId="0" borderId="26" xfId="0" applyNumberFormat="1" applyFont="1" applyFill="1" applyBorder="1" applyAlignment="1" applyProtection="1">
      <alignment horizontal="right"/>
    </xf>
    <xf numFmtId="0" fontId="38" fillId="0" borderId="1" xfId="7" applyFont="1" applyFill="1" applyBorder="1" applyAlignment="1" applyProtection="1">
      <alignment vertical="top"/>
    </xf>
    <xf numFmtId="0" fontId="38" fillId="0" borderId="1" xfId="7" applyFont="1" applyFill="1" applyBorder="1" applyProtection="1"/>
    <xf numFmtId="49" fontId="38" fillId="0" borderId="25" xfId="7" applyNumberFormat="1" applyFont="1" applyFill="1" applyBorder="1" applyProtection="1"/>
    <xf numFmtId="49" fontId="38" fillId="0" borderId="33" xfId="7" applyNumberFormat="1" applyFont="1" applyFill="1" applyBorder="1" applyProtection="1"/>
    <xf numFmtId="0" fontId="39" fillId="0" borderId="25" xfId="7" applyFont="1" applyFill="1" applyBorder="1" applyProtection="1"/>
    <xf numFmtId="0" fontId="39" fillId="0" borderId="26" xfId="7" applyFont="1" applyFill="1" applyBorder="1" applyAlignment="1" applyProtection="1">
      <alignment horizontal="center" vertical="top"/>
    </xf>
    <xf numFmtId="0" fontId="39" fillId="0" borderId="26" xfId="7" applyFont="1" applyFill="1" applyBorder="1" applyProtection="1"/>
    <xf numFmtId="3" fontId="39" fillId="0" borderId="26" xfId="0" applyNumberFormat="1" applyFont="1" applyFill="1" applyBorder="1" applyAlignment="1" applyProtection="1">
      <alignment horizontal="right"/>
    </xf>
    <xf numFmtId="0" fontId="39" fillId="0" borderId="33" xfId="7" applyFont="1" applyFill="1" applyBorder="1" applyProtection="1"/>
    <xf numFmtId="0" fontId="39" fillId="0" borderId="1" xfId="7" applyFont="1" applyFill="1" applyBorder="1" applyAlignment="1" applyProtection="1">
      <alignment horizontal="center" vertical="top"/>
    </xf>
    <xf numFmtId="0" fontId="39" fillId="0" borderId="1" xfId="8" applyFont="1" applyFill="1" applyBorder="1" applyAlignment="1" applyProtection="1">
      <alignment wrapText="1"/>
    </xf>
    <xf numFmtId="49" fontId="38" fillId="7" borderId="25" xfId="7" applyNumberFormat="1" applyFont="1" applyFill="1" applyBorder="1" applyProtection="1"/>
    <xf numFmtId="0" fontId="38" fillId="7" borderId="26" xfId="7" applyFont="1" applyFill="1" applyBorder="1" applyAlignment="1" applyProtection="1">
      <alignment vertical="top"/>
    </xf>
    <xf numFmtId="0" fontId="38" fillId="7" borderId="26" xfId="7" applyFont="1" applyFill="1" applyBorder="1" applyProtection="1"/>
    <xf numFmtId="3" fontId="38" fillId="7" borderId="26" xfId="0" applyNumberFormat="1" applyFont="1" applyFill="1" applyBorder="1" applyAlignment="1" applyProtection="1">
      <alignment horizontal="right"/>
    </xf>
    <xf numFmtId="49" fontId="39" fillId="0" borderId="1" xfId="8" applyNumberFormat="1" applyFont="1" applyFill="1" applyBorder="1" applyAlignment="1" applyProtection="1">
      <alignment vertical="center" wrapText="1"/>
    </xf>
    <xf numFmtId="0" fontId="39" fillId="7" borderId="25" xfId="7" applyFont="1" applyFill="1" applyBorder="1" applyProtection="1"/>
    <xf numFmtId="0" fontId="39" fillId="7" borderId="26" xfId="7" applyFont="1" applyFill="1" applyBorder="1" applyAlignment="1" applyProtection="1">
      <alignment vertical="top"/>
    </xf>
    <xf numFmtId="0" fontId="39" fillId="7" borderId="26" xfId="7" applyFont="1" applyFill="1" applyBorder="1" applyProtection="1"/>
    <xf numFmtId="3" fontId="39" fillId="7" borderId="26" xfId="0" applyNumberFormat="1" applyFont="1" applyFill="1" applyBorder="1" applyAlignment="1" applyProtection="1">
      <alignment horizontal="right"/>
    </xf>
    <xf numFmtId="0" fontId="39" fillId="0" borderId="1" xfId="7" applyFont="1" applyFill="1" applyBorder="1" applyAlignment="1" applyProtection="1">
      <alignment vertical="top"/>
    </xf>
    <xf numFmtId="49" fontId="40" fillId="0" borderId="1" xfId="8" applyNumberFormat="1" applyFont="1" applyFill="1" applyBorder="1" applyAlignment="1" applyProtection="1">
      <alignment vertical="center" wrapText="1"/>
    </xf>
    <xf numFmtId="0" fontId="39" fillId="0" borderId="33" xfId="7" applyFont="1" applyFill="1" applyBorder="1" applyAlignment="1" applyProtection="1">
      <alignment horizontal="center" vertical="center"/>
    </xf>
    <xf numFmtId="0" fontId="39" fillId="0" borderId="26" xfId="7" applyFont="1" applyFill="1" applyBorder="1" applyAlignment="1" applyProtection="1">
      <alignment shrinkToFit="1"/>
    </xf>
    <xf numFmtId="3" fontId="38" fillId="0" borderId="26" xfId="0" applyNumberFormat="1" applyFont="1" applyFill="1" applyBorder="1" applyAlignment="1" applyProtection="1"/>
    <xf numFmtId="3" fontId="39" fillId="0" borderId="26" xfId="0" applyNumberFormat="1" applyFont="1" applyFill="1" applyBorder="1" applyAlignment="1" applyProtection="1"/>
    <xf numFmtId="0" fontId="39" fillId="0" borderId="26" xfId="0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/>
    </xf>
    <xf numFmtId="0" fontId="38" fillId="0" borderId="26" xfId="0" applyFont="1" applyFill="1" applyBorder="1" applyAlignment="1" applyProtection="1">
      <alignment vertical="top"/>
    </xf>
    <xf numFmtId="0" fontId="39" fillId="0" borderId="1" xfId="7" applyFont="1" applyFill="1" applyBorder="1" applyAlignment="1" applyProtection="1">
      <alignment horizontal="left"/>
    </xf>
    <xf numFmtId="3" fontId="40" fillId="0" borderId="26" xfId="7" applyNumberFormat="1" applyFont="1" applyFill="1" applyBorder="1" applyAlignment="1" applyProtection="1">
      <alignment vertical="center"/>
    </xf>
    <xf numFmtId="0" fontId="40" fillId="0" borderId="1" xfId="7" applyFont="1" applyFill="1" applyBorder="1" applyAlignment="1" applyProtection="1">
      <alignment horizontal="left"/>
    </xf>
    <xf numFmtId="0" fontId="40" fillId="0" borderId="26" xfId="7" applyFont="1" applyFill="1" applyBorder="1" applyAlignment="1" applyProtection="1">
      <alignment horizontal="left" vertical="center" shrinkToFit="1"/>
    </xf>
    <xf numFmtId="3" fontId="39" fillId="0" borderId="26" xfId="7" applyNumberFormat="1" applyFont="1" applyFill="1" applyBorder="1" applyAlignment="1" applyProtection="1">
      <alignment vertical="center"/>
    </xf>
    <xf numFmtId="0" fontId="39" fillId="0" borderId="1" xfId="7" applyFont="1" applyFill="1" applyBorder="1" applyAlignment="1" applyProtection="1">
      <alignment horizontal="left" wrapText="1" shrinkToFit="1"/>
    </xf>
    <xf numFmtId="0" fontId="39" fillId="0" borderId="1" xfId="7" applyFont="1" applyFill="1" applyBorder="1" applyAlignment="1" applyProtection="1">
      <alignment horizontal="left" shrinkToFit="1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vertical="top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6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vertical="top"/>
    </xf>
    <xf numFmtId="0" fontId="37" fillId="0" borderId="47" xfId="7" applyFont="1" applyFill="1" applyBorder="1" applyAlignment="1" applyProtection="1">
      <alignment vertical="center"/>
    </xf>
    <xf numFmtId="0" fontId="39" fillId="0" borderId="93" xfId="7" applyFont="1" applyFill="1" applyBorder="1" applyProtection="1"/>
    <xf numFmtId="0" fontId="39" fillId="0" borderId="94" xfId="7" applyFont="1" applyFill="1" applyBorder="1" applyAlignment="1" applyProtection="1">
      <alignment horizontal="center" vertical="top"/>
    </xf>
    <xf numFmtId="0" fontId="39" fillId="0" borderId="94" xfId="7" applyFont="1" applyFill="1" applyBorder="1" applyProtection="1"/>
    <xf numFmtId="0" fontId="39" fillId="7" borderId="94" xfId="7" applyFont="1" applyFill="1" applyBorder="1" applyAlignment="1" applyProtection="1">
      <alignment vertical="top"/>
    </xf>
    <xf numFmtId="0" fontId="38" fillId="0" borderId="95" xfId="7" applyFont="1" applyFill="1" applyBorder="1" applyProtection="1"/>
    <xf numFmtId="3" fontId="38" fillId="0" borderId="40" xfId="0" applyNumberFormat="1" applyFont="1" applyFill="1" applyBorder="1" applyAlignment="1" applyProtection="1"/>
    <xf numFmtId="0" fontId="39" fillId="0" borderId="40" xfId="7" applyFont="1" applyFill="1" applyBorder="1" applyAlignment="1" applyProtection="1">
      <alignment horizontal="center" vertical="top"/>
    </xf>
    <xf numFmtId="0" fontId="39" fillId="0" borderId="26" xfId="7" applyFont="1" applyFill="1" applyBorder="1" applyAlignment="1" applyProtection="1">
      <alignment horizontal="left" vertical="center" wrapText="1"/>
    </xf>
    <xf numFmtId="3" fontId="39" fillId="0" borderId="26" xfId="7" applyNumberFormat="1" applyFont="1" applyFill="1" applyBorder="1" applyAlignment="1" applyProtection="1">
      <alignment horizontal="right" vertical="center"/>
    </xf>
    <xf numFmtId="0" fontId="39" fillId="0" borderId="1" xfId="7" applyFont="1" applyFill="1" applyBorder="1" applyAlignment="1" applyProtection="1">
      <alignment vertical="center"/>
    </xf>
    <xf numFmtId="0" fontId="37" fillId="0" borderId="52" xfId="7" applyFont="1" applyFill="1" applyBorder="1" applyAlignment="1" applyProtection="1">
      <alignment vertical="center"/>
    </xf>
    <xf numFmtId="0" fontId="37" fillId="0" borderId="44" xfId="7" applyFont="1" applyFill="1" applyBorder="1" applyAlignment="1" applyProtection="1">
      <alignment vertical="center"/>
    </xf>
    <xf numFmtId="0" fontId="37" fillId="0" borderId="47" xfId="7" applyFont="1" applyFill="1" applyBorder="1" applyAlignment="1" applyProtection="1">
      <alignment horizontal="center" vertical="top"/>
    </xf>
    <xf numFmtId="0" fontId="37" fillId="0" borderId="47" xfId="7" applyFont="1" applyFill="1" applyBorder="1" applyAlignment="1" applyProtection="1">
      <alignment horizontal="center" vertical="center"/>
    </xf>
    <xf numFmtId="0" fontId="0" fillId="0" borderId="72" xfId="0" applyBorder="1"/>
    <xf numFmtId="167" fontId="0" fillId="0" borderId="72" xfId="5" applyNumberFormat="1" applyFont="1" applyBorder="1"/>
    <xf numFmtId="0" fontId="0" fillId="0" borderId="72" xfId="0" applyFill="1" applyBorder="1"/>
    <xf numFmtId="167" fontId="0" fillId="0" borderId="72" xfId="5" applyNumberFormat="1" applyFont="1" applyFill="1" applyBorder="1"/>
    <xf numFmtId="0" fontId="0" fillId="0" borderId="0" xfId="0" applyFill="1"/>
    <xf numFmtId="0" fontId="41" fillId="0" borderId="72" xfId="0" applyFont="1" applyBorder="1" applyAlignment="1">
      <alignment horizontal="right"/>
    </xf>
    <xf numFmtId="167" fontId="41" fillId="0" borderId="72" xfId="5" applyNumberFormat="1" applyFont="1" applyBorder="1"/>
    <xf numFmtId="0" fontId="0" fillId="12" borderId="72" xfId="0" applyFill="1" applyBorder="1"/>
    <xf numFmtId="167" fontId="0" fillId="12" borderId="72" xfId="5" applyNumberFormat="1" applyFont="1" applyFill="1" applyBorder="1"/>
    <xf numFmtId="167" fontId="41" fillId="0" borderId="72" xfId="0" applyNumberFormat="1" applyFont="1" applyBorder="1"/>
    <xf numFmtId="167" fontId="0" fillId="0" borderId="0" xfId="0" applyNumberFormat="1"/>
    <xf numFmtId="166" fontId="38" fillId="0" borderId="72" xfId="0" applyNumberFormat="1" applyFont="1" applyFill="1" applyBorder="1" applyAlignment="1" applyProtection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3" fontId="37" fillId="0" borderId="72" xfId="0" applyNumberFormat="1" applyFont="1" applyFill="1" applyBorder="1" applyAlignment="1">
      <alignment vertical="center" wrapText="1"/>
    </xf>
    <xf numFmtId="3" fontId="37" fillId="0" borderId="72" xfId="0" applyNumberFormat="1" applyFont="1" applyFill="1" applyBorder="1" applyAlignment="1">
      <alignment vertical="center"/>
    </xf>
    <xf numFmtId="166" fontId="37" fillId="0" borderId="72" xfId="0" applyNumberFormat="1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/>
    </xf>
    <xf numFmtId="3" fontId="45" fillId="0" borderId="72" xfId="0" applyNumberFormat="1" applyFont="1" applyFill="1" applyBorder="1" applyAlignment="1">
      <alignment vertical="center"/>
    </xf>
    <xf numFmtId="0" fontId="37" fillId="0" borderId="69" xfId="0" applyFont="1" applyFill="1" applyBorder="1" applyAlignment="1">
      <alignment horizontal="right" vertical="center" shrinkToFit="1"/>
    </xf>
    <xf numFmtId="3" fontId="37" fillId="0" borderId="72" xfId="0" applyNumberFormat="1" applyFont="1" applyFill="1" applyBorder="1" applyAlignment="1">
      <alignment horizontal="left" vertical="center"/>
    </xf>
    <xf numFmtId="3" fontId="44" fillId="0" borderId="72" xfId="0" applyNumberFormat="1" applyFont="1" applyFill="1" applyBorder="1" applyAlignment="1">
      <alignment vertical="center"/>
    </xf>
    <xf numFmtId="0" fontId="44" fillId="0" borderId="72" xfId="0" applyFont="1" applyFill="1" applyBorder="1" applyAlignment="1">
      <alignment vertical="center"/>
    </xf>
    <xf numFmtId="166" fontId="44" fillId="0" borderId="72" xfId="0" applyNumberFormat="1" applyFont="1" applyFill="1" applyBorder="1" applyAlignment="1">
      <alignment vertical="center"/>
    </xf>
    <xf numFmtId="0" fontId="44" fillId="0" borderId="72" xfId="0" applyFont="1" applyFill="1" applyBorder="1" applyAlignment="1">
      <alignment horizontal="center" vertical="center"/>
    </xf>
    <xf numFmtId="0" fontId="44" fillId="3" borderId="72" xfId="0" applyFont="1" applyFill="1" applyBorder="1" applyAlignment="1">
      <alignment vertical="center" shrinkToFit="1"/>
    </xf>
    <xf numFmtId="3" fontId="44" fillId="3" borderId="72" xfId="0" applyNumberFormat="1" applyFont="1" applyFill="1" applyBorder="1" applyAlignment="1">
      <alignment vertical="center"/>
    </xf>
    <xf numFmtId="38" fontId="44" fillId="3" borderId="72" xfId="0" applyNumberFormat="1" applyFont="1" applyFill="1" applyBorder="1" applyAlignment="1" applyProtection="1">
      <alignment horizontal="right" vertical="center" wrapText="1" indent="3"/>
    </xf>
    <xf numFmtId="166" fontId="44" fillId="3" borderId="72" xfId="0" applyNumberFormat="1" applyFont="1" applyFill="1" applyBorder="1" applyAlignment="1">
      <alignment vertical="center"/>
    </xf>
    <xf numFmtId="0" fontId="37" fillId="3" borderId="72" xfId="0" applyFont="1" applyFill="1" applyBorder="1" applyAlignment="1">
      <alignment horizontal="right" vertical="center" shrinkToFit="1"/>
    </xf>
    <xf numFmtId="3" fontId="37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/>
    </xf>
    <xf numFmtId="3" fontId="44" fillId="3" borderId="72" xfId="0" applyNumberFormat="1" applyFont="1" applyFill="1" applyBorder="1" applyAlignment="1">
      <alignment horizontal="right" vertical="center" wrapText="1"/>
    </xf>
    <xf numFmtId="38" fontId="44" fillId="3" borderId="72" xfId="0" applyNumberFormat="1" applyFont="1" applyFill="1" applyBorder="1" applyAlignment="1" applyProtection="1">
      <alignment horizontal="center" vertical="center" wrapText="1"/>
    </xf>
    <xf numFmtId="0" fontId="44" fillId="3" borderId="72" xfId="0" applyFont="1" applyFill="1" applyBorder="1" applyAlignment="1">
      <alignment vertical="center" wrapText="1" shrinkToFit="1"/>
    </xf>
    <xf numFmtId="3" fontId="46" fillId="3" borderId="72" xfId="0" applyNumberFormat="1" applyFont="1" applyFill="1" applyBorder="1" applyAlignment="1">
      <alignment vertical="center"/>
    </xf>
    <xf numFmtId="3" fontId="37" fillId="3" borderId="72" xfId="0" applyNumberFormat="1" applyFont="1" applyFill="1" applyBorder="1" applyAlignment="1">
      <alignment horizontal="left" vertical="center" wrapText="1"/>
    </xf>
    <xf numFmtId="0" fontId="44" fillId="3" borderId="72" xfId="0" applyFont="1" applyFill="1" applyBorder="1" applyAlignment="1">
      <alignment horizontal="left" vertical="center" shrinkToFit="1"/>
    </xf>
    <xf numFmtId="38" fontId="44" fillId="3" borderId="64" xfId="0" applyNumberFormat="1" applyFont="1" applyFill="1" applyBorder="1" applyAlignment="1" applyProtection="1">
      <alignment horizontal="right" vertical="center" wrapText="1" indent="3"/>
    </xf>
    <xf numFmtId="3" fontId="44" fillId="3" borderId="64" xfId="0" applyNumberFormat="1" applyFont="1" applyFill="1" applyBorder="1" applyAlignment="1">
      <alignment vertical="center"/>
    </xf>
    <xf numFmtId="166" fontId="44" fillId="3" borderId="64" xfId="0" applyNumberFormat="1" applyFont="1" applyFill="1" applyBorder="1" applyAlignment="1">
      <alignment vertical="center"/>
    </xf>
    <xf numFmtId="3" fontId="44" fillId="0" borderId="0" xfId="0" applyNumberFormat="1" applyFont="1" applyFill="1" applyBorder="1" applyAlignment="1">
      <alignment vertical="center"/>
    </xf>
    <xf numFmtId="166" fontId="44" fillId="0" borderId="0" xfId="0" applyNumberFormat="1" applyFont="1" applyFill="1" applyBorder="1" applyAlignment="1">
      <alignment vertical="center"/>
    </xf>
    <xf numFmtId="0" fontId="44" fillId="0" borderId="0" xfId="0" applyFont="1" applyFill="1" applyBorder="1" applyAlignment="1">
      <alignment vertical="center" shrinkToFit="1"/>
    </xf>
    <xf numFmtId="0" fontId="21" fillId="0" borderId="72" xfId="0" applyFont="1" applyFill="1" applyBorder="1"/>
    <xf numFmtId="3" fontId="20" fillId="0" borderId="72" xfId="0" applyNumberFormat="1" applyFont="1" applyFill="1" applyBorder="1" applyAlignment="1">
      <alignment horizontal="center" vertical="center" wrapText="1"/>
    </xf>
    <xf numFmtId="0" fontId="21" fillId="0" borderId="72" xfId="0" applyFont="1" applyFill="1" applyBorder="1" applyAlignment="1">
      <alignment wrapText="1"/>
    </xf>
    <xf numFmtId="0" fontId="20" fillId="0" borderId="72" xfId="0" applyFont="1" applyFill="1" applyBorder="1" applyAlignment="1">
      <alignment wrapText="1"/>
    </xf>
    <xf numFmtId="3" fontId="21" fillId="0" borderId="72" xfId="0" applyNumberFormat="1" applyFont="1" applyFill="1" applyBorder="1" applyAlignment="1">
      <alignment horizontal="left" wrapText="1"/>
    </xf>
    <xf numFmtId="0" fontId="20" fillId="0" borderId="72" xfId="0" applyFont="1" applyFill="1" applyBorder="1" applyAlignment="1">
      <alignment horizontal="left" wrapText="1"/>
    </xf>
    <xf numFmtId="0" fontId="21" fillId="0" borderId="99" xfId="0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right" vertical="center"/>
    </xf>
    <xf numFmtId="3" fontId="21" fillId="0" borderId="69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left" wrapText="1"/>
    </xf>
    <xf numFmtId="0" fontId="21" fillId="0" borderId="72" xfId="0" applyFont="1" applyFill="1" applyBorder="1" applyAlignment="1">
      <alignment horizontal="left"/>
    </xf>
    <xf numFmtId="0" fontId="20" fillId="0" borderId="99" xfId="0" applyFont="1" applyFill="1" applyBorder="1" applyAlignment="1">
      <alignment horizontal="left" vertical="center" wrapText="1"/>
    </xf>
    <xf numFmtId="3" fontId="20" fillId="0" borderId="71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wrapText="1"/>
    </xf>
    <xf numFmtId="3" fontId="20" fillId="0" borderId="73" xfId="0" applyNumberFormat="1" applyFont="1" applyFill="1" applyBorder="1" applyAlignment="1">
      <alignment horizontal="right" vertical="center"/>
    </xf>
    <xf numFmtId="3" fontId="20" fillId="0" borderId="72" xfId="0" applyNumberFormat="1" applyFont="1" applyFill="1" applyBorder="1" applyAlignment="1">
      <alignment horizontal="right" vertical="center"/>
    </xf>
    <xf numFmtId="3" fontId="20" fillId="0" borderId="70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>
      <alignment horizontal="left"/>
    </xf>
    <xf numFmtId="0" fontId="20" fillId="12" borderId="99" xfId="0" applyFont="1" applyFill="1" applyBorder="1" applyAlignment="1">
      <alignment horizontal="left" vertical="center" wrapText="1"/>
    </xf>
    <xf numFmtId="3" fontId="20" fillId="0" borderId="70" xfId="0" applyNumberFormat="1" applyFont="1" applyFill="1" applyBorder="1" applyAlignment="1">
      <alignment horizontal="right" wrapText="1"/>
    </xf>
    <xf numFmtId="3" fontId="20" fillId="0" borderId="72" xfId="0" applyNumberFormat="1" applyFont="1" applyBorder="1" applyAlignment="1">
      <alignment horizontal="right" wrapText="1"/>
    </xf>
    <xf numFmtId="3" fontId="20" fillId="0" borderId="70" xfId="0" applyNumberFormat="1" applyFont="1" applyFill="1" applyBorder="1" applyAlignment="1">
      <alignment horizontal="right"/>
    </xf>
    <xf numFmtId="3" fontId="20" fillId="0" borderId="69" xfId="0" applyNumberFormat="1" applyFont="1" applyBorder="1" applyAlignment="1">
      <alignment horizontal="right" wrapText="1"/>
    </xf>
    <xf numFmtId="3" fontId="20" fillId="0" borderId="72" xfId="0" applyNumberFormat="1" applyFont="1" applyFill="1" applyBorder="1" applyAlignment="1">
      <alignment horizontal="right"/>
    </xf>
    <xf numFmtId="3" fontId="20" fillId="0" borderId="71" xfId="0" applyNumberFormat="1" applyFont="1" applyBorder="1" applyAlignment="1">
      <alignment horizontal="right" wrapText="1"/>
    </xf>
    <xf numFmtId="0" fontId="20" fillId="12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99" xfId="0" applyFont="1" applyBorder="1" applyAlignment="1">
      <alignment horizontal="left" vertical="top" wrapText="1"/>
    </xf>
    <xf numFmtId="0" fontId="20" fillId="0" borderId="100" xfId="0" applyFont="1" applyFill="1" applyBorder="1" applyAlignment="1">
      <alignment horizontal="left" vertical="center" wrapText="1"/>
    </xf>
    <xf numFmtId="3" fontId="20" fillId="0" borderId="67" xfId="0" applyNumberFormat="1" applyFont="1" applyFill="1" applyBorder="1" applyAlignment="1">
      <alignment horizontal="right"/>
    </xf>
    <xf numFmtId="3" fontId="20" fillId="0" borderId="72" xfId="0" applyNumberFormat="1" applyFont="1" applyFill="1" applyBorder="1" applyAlignment="1">
      <alignment horizontal="right" wrapText="1"/>
    </xf>
    <xf numFmtId="0" fontId="20" fillId="0" borderId="99" xfId="0" applyFont="1" applyFill="1" applyBorder="1" applyAlignment="1">
      <alignment wrapText="1"/>
    </xf>
    <xf numFmtId="3" fontId="21" fillId="0" borderId="71" xfId="0" applyNumberFormat="1" applyFont="1" applyFill="1" applyBorder="1" applyAlignment="1">
      <alignment horizontal="right"/>
    </xf>
    <xf numFmtId="3" fontId="21" fillId="0" borderId="72" xfId="0" applyNumberFormat="1" applyFont="1" applyFill="1" applyBorder="1" applyAlignment="1">
      <alignment horizontal="right"/>
    </xf>
    <xf numFmtId="3" fontId="21" fillId="0" borderId="69" xfId="0" applyNumberFormat="1" applyFont="1" applyFill="1" applyBorder="1" applyAlignment="1">
      <alignment horizontal="right"/>
    </xf>
    <xf numFmtId="3" fontId="20" fillId="0" borderId="102" xfId="0" applyNumberFormat="1" applyFont="1" applyFill="1" applyBorder="1" applyAlignment="1">
      <alignment horizontal="right" vertical="center"/>
    </xf>
    <xf numFmtId="3" fontId="20" fillId="0" borderId="71" xfId="0" applyNumberFormat="1" applyFont="1" applyFill="1" applyBorder="1" applyAlignment="1">
      <alignment horizontal="right" wrapText="1"/>
    </xf>
    <xf numFmtId="3" fontId="35" fillId="0" borderId="71" xfId="0" applyNumberFormat="1" applyFont="1" applyFill="1" applyBorder="1" applyAlignment="1">
      <alignment horizontal="right"/>
    </xf>
    <xf numFmtId="3" fontId="35" fillId="0" borderId="69" xfId="0" applyNumberFormat="1" applyFont="1" applyFill="1" applyBorder="1" applyAlignment="1">
      <alignment horizontal="right"/>
    </xf>
    <xf numFmtId="3" fontId="35" fillId="0" borderId="69" xfId="0" applyNumberFormat="1" applyFont="1" applyFill="1" applyBorder="1" applyAlignment="1">
      <alignment horizontal="right" wrapText="1"/>
    </xf>
    <xf numFmtId="3" fontId="35" fillId="0" borderId="72" xfId="0" applyNumberFormat="1" applyFont="1" applyFill="1" applyBorder="1" applyAlignment="1">
      <alignment horizontal="left" wrapText="1"/>
    </xf>
    <xf numFmtId="0" fontId="35" fillId="0" borderId="72" xfId="0" applyFont="1" applyFill="1" applyBorder="1" applyAlignment="1">
      <alignment horizontal="left"/>
    </xf>
    <xf numFmtId="0" fontId="21" fillId="0" borderId="96" xfId="16" applyFont="1" applyFill="1" applyBorder="1" applyAlignment="1">
      <alignment horizontal="left" vertical="center" wrapText="1"/>
    </xf>
    <xf numFmtId="3" fontId="21" fillId="0" borderId="97" xfId="16" applyNumberFormat="1" applyFont="1" applyFill="1" applyBorder="1" applyAlignment="1">
      <alignment horizontal="right" vertical="center" wrapText="1"/>
    </xf>
    <xf numFmtId="3" fontId="21" fillId="0" borderId="98" xfId="16" applyNumberFormat="1" applyFont="1" applyFill="1" applyBorder="1" applyAlignment="1">
      <alignment horizontal="right" vertical="center" wrapText="1"/>
    </xf>
    <xf numFmtId="0" fontId="20" fillId="0" borderId="100" xfId="0" applyFont="1" applyFill="1" applyBorder="1" applyAlignment="1">
      <alignment wrapText="1"/>
    </xf>
    <xf numFmtId="3" fontId="20" fillId="0" borderId="67" xfId="0" applyNumberFormat="1" applyFont="1" applyFill="1" applyBorder="1" applyAlignment="1">
      <alignment horizontal="right" wrapText="1"/>
    </xf>
    <xf numFmtId="3" fontId="20" fillId="0" borderId="73" xfId="0" applyNumberFormat="1" applyFont="1" applyFill="1" applyBorder="1" applyAlignment="1">
      <alignment horizontal="right" wrapText="1"/>
    </xf>
    <xf numFmtId="0" fontId="20" fillId="0" borderId="72" xfId="0" applyFont="1" applyFill="1" applyBorder="1"/>
    <xf numFmtId="0" fontId="20" fillId="0" borderId="103" xfId="0" applyFont="1" applyFill="1" applyBorder="1" applyAlignment="1">
      <alignment wrapText="1"/>
    </xf>
    <xf numFmtId="0" fontId="21" fillId="0" borderId="104" xfId="16" applyFont="1" applyFill="1" applyBorder="1" applyAlignment="1">
      <alignment horizontal="left" vertical="center" wrapText="1"/>
    </xf>
    <xf numFmtId="3" fontId="20" fillId="0" borderId="105" xfId="0" applyNumberFormat="1" applyFont="1" applyFill="1" applyBorder="1" applyAlignment="1">
      <alignment horizontal="left" wrapText="1"/>
    </xf>
    <xf numFmtId="3" fontId="21" fillId="0" borderId="67" xfId="0" applyNumberFormat="1" applyFont="1" applyFill="1" applyBorder="1" applyAlignment="1">
      <alignment horizontal="right" vertical="center"/>
    </xf>
    <xf numFmtId="3" fontId="21" fillId="0" borderId="72" xfId="0" applyNumberFormat="1" applyFont="1" applyFill="1" applyBorder="1" applyAlignment="1">
      <alignment horizontal="right" vertical="center"/>
    </xf>
    <xf numFmtId="3" fontId="20" fillId="0" borderId="73" xfId="0" applyNumberFormat="1" applyFont="1" applyFill="1" applyBorder="1" applyAlignment="1">
      <alignment horizontal="right"/>
    </xf>
    <xf numFmtId="3" fontId="20" fillId="0" borderId="99" xfId="0" applyNumberFormat="1" applyFont="1" applyFill="1" applyBorder="1" applyAlignment="1">
      <alignment horizontal="left" wrapText="1"/>
    </xf>
    <xf numFmtId="3" fontId="21" fillId="0" borderId="70" xfId="0" applyNumberFormat="1" applyFont="1" applyFill="1" applyBorder="1" applyAlignment="1">
      <alignment horizontal="right" vertical="center"/>
    </xf>
    <xf numFmtId="3" fontId="20" fillId="0" borderId="106" xfId="0" applyNumberFormat="1" applyFont="1" applyFill="1" applyBorder="1" applyAlignment="1">
      <alignment horizontal="right"/>
    </xf>
    <xf numFmtId="0" fontId="21" fillId="0" borderId="99" xfId="16" applyFont="1" applyFill="1" applyBorder="1" applyAlignment="1">
      <alignment horizontal="left" vertical="center" wrapText="1"/>
    </xf>
    <xf numFmtId="0" fontId="20" fillId="0" borderId="99" xfId="0" applyFont="1" applyFill="1" applyBorder="1" applyAlignment="1">
      <alignment vertical="center" wrapText="1"/>
    </xf>
    <xf numFmtId="3" fontId="21" fillId="0" borderId="69" xfId="0" applyNumberFormat="1" applyFont="1" applyFill="1" applyBorder="1" applyAlignment="1">
      <alignment horizontal="right" vertical="center" wrapText="1"/>
    </xf>
    <xf numFmtId="0" fontId="20" fillId="0" borderId="99" xfId="16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right" vertical="center" wrapText="1"/>
    </xf>
    <xf numFmtId="167" fontId="20" fillId="0" borderId="72" xfId="5" applyNumberFormat="1" applyFont="1" applyFill="1" applyBorder="1" applyAlignment="1">
      <alignment horizontal="right"/>
    </xf>
    <xf numFmtId="3" fontId="20" fillId="0" borderId="69" xfId="0" applyNumberFormat="1" applyFont="1" applyFill="1" applyBorder="1" applyAlignment="1">
      <alignment horizontal="right" vertical="center" wrapText="1"/>
    </xf>
    <xf numFmtId="3" fontId="20" fillId="0" borderId="106" xfId="0" applyNumberFormat="1" applyFont="1" applyFill="1" applyBorder="1" applyAlignment="1">
      <alignment horizontal="right" vertical="center"/>
    </xf>
    <xf numFmtId="3" fontId="21" fillId="0" borderId="106" xfId="0" applyNumberFormat="1" applyFont="1" applyFill="1" applyBorder="1" applyAlignment="1">
      <alignment horizontal="right" vertical="center"/>
    </xf>
    <xf numFmtId="0" fontId="20" fillId="0" borderId="72" xfId="0" applyFont="1" applyFill="1" applyBorder="1" applyAlignment="1"/>
    <xf numFmtId="167" fontId="20" fillId="0" borderId="69" xfId="5" applyNumberFormat="1" applyFont="1" applyFill="1" applyBorder="1" applyAlignment="1">
      <alignment horizontal="right"/>
    </xf>
    <xf numFmtId="0" fontId="21" fillId="0" borderId="99" xfId="0" applyFont="1" applyFill="1" applyBorder="1" applyAlignment="1">
      <alignment wrapText="1"/>
    </xf>
    <xf numFmtId="3" fontId="21" fillId="0" borderId="97" xfId="0" applyNumberFormat="1" applyFont="1" applyFill="1" applyBorder="1" applyAlignment="1">
      <alignment horizontal="right" vertical="center" wrapText="1"/>
    </xf>
    <xf numFmtId="3" fontId="21" fillId="0" borderId="98" xfId="0" applyNumberFormat="1" applyFont="1" applyFill="1" applyBorder="1" applyAlignment="1">
      <alignment horizontal="right" vertical="center" wrapText="1"/>
    </xf>
    <xf numFmtId="0" fontId="20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 wrapText="1"/>
    </xf>
    <xf numFmtId="3" fontId="21" fillId="13" borderId="69" xfId="0" applyNumberFormat="1" applyFont="1" applyFill="1" applyBorder="1" applyAlignment="1">
      <alignment horizontal="right" vertical="center" wrapText="1"/>
    </xf>
    <xf numFmtId="3" fontId="21" fillId="13" borderId="70" xfId="0" applyNumberFormat="1" applyFont="1" applyFill="1" applyBorder="1" applyAlignment="1">
      <alignment horizontal="right" vertical="center" wrapText="1"/>
    </xf>
    <xf numFmtId="3" fontId="21" fillId="0" borderId="71" xfId="0" applyNumberFormat="1" applyFont="1" applyFill="1" applyBorder="1" applyAlignment="1">
      <alignment horizontal="right" vertical="center" wrapText="1"/>
    </xf>
    <xf numFmtId="3" fontId="20" fillId="0" borderId="70" xfId="0" applyNumberFormat="1" applyFont="1" applyFill="1" applyBorder="1" applyAlignment="1">
      <alignment horizontal="right" vertical="center" wrapText="1"/>
    </xf>
    <xf numFmtId="3" fontId="20" fillId="0" borderId="71" xfId="0" applyNumberFormat="1" applyFont="1" applyFill="1" applyBorder="1" applyAlignment="1">
      <alignment horizontal="right" vertical="center" wrapText="1"/>
    </xf>
    <xf numFmtId="3" fontId="20" fillId="13" borderId="71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vertical="center" wrapText="1"/>
    </xf>
    <xf numFmtId="3" fontId="20" fillId="13" borderId="69" xfId="0" applyNumberFormat="1" applyFont="1" applyFill="1" applyBorder="1" applyAlignment="1">
      <alignment horizontal="right" wrapText="1"/>
    </xf>
    <xf numFmtId="3" fontId="20" fillId="13" borderId="69" xfId="0" applyNumberFormat="1" applyFont="1" applyFill="1" applyBorder="1" applyAlignment="1">
      <alignment horizontal="right"/>
    </xf>
    <xf numFmtId="3" fontId="20" fillId="13" borderId="70" xfId="0" applyNumberFormat="1" applyFont="1" applyFill="1" applyBorder="1" applyAlignment="1">
      <alignment horizontal="right"/>
    </xf>
    <xf numFmtId="0" fontId="21" fillId="0" borderId="99" xfId="0" applyFont="1" applyFill="1" applyBorder="1" applyAlignment="1">
      <alignment vertical="center" wrapText="1"/>
    </xf>
    <xf numFmtId="0" fontId="21" fillId="0" borderId="96" xfId="0" applyFont="1" applyFill="1" applyBorder="1" applyAlignment="1" applyProtection="1">
      <alignment horizontal="left" vertical="center" wrapText="1"/>
    </xf>
    <xf numFmtId="3" fontId="21" fillId="0" borderId="97" xfId="0" applyNumberFormat="1" applyFont="1" applyFill="1" applyBorder="1" applyAlignment="1">
      <alignment horizontal="right" vertical="center"/>
    </xf>
    <xf numFmtId="3" fontId="21" fillId="0" borderId="98" xfId="0" applyNumberFormat="1" applyFont="1" applyFill="1" applyBorder="1" applyAlignment="1">
      <alignment horizontal="right" vertical="center"/>
    </xf>
    <xf numFmtId="0" fontId="21" fillId="0" borderId="72" xfId="0" applyFont="1" applyFill="1" applyBorder="1" applyAlignment="1">
      <alignment horizontal="left" vertical="center"/>
    </xf>
    <xf numFmtId="3" fontId="21" fillId="13" borderId="71" xfId="0" applyNumberFormat="1" applyFont="1" applyFill="1" applyBorder="1" applyAlignment="1">
      <alignment horizontal="right" vertical="center"/>
    </xf>
    <xf numFmtId="3" fontId="21" fillId="13" borderId="69" xfId="0" applyNumberFormat="1" applyFont="1" applyFill="1" applyBorder="1" applyAlignment="1">
      <alignment horizontal="right" vertical="center"/>
    </xf>
    <xf numFmtId="3" fontId="21" fillId="13" borderId="70" xfId="0" applyNumberFormat="1" applyFont="1" applyFill="1" applyBorder="1" applyAlignment="1">
      <alignment horizontal="right" vertical="center"/>
    </xf>
    <xf numFmtId="0" fontId="20" fillId="0" borderId="100" xfId="0" applyFont="1" applyFill="1" applyBorder="1" applyAlignment="1">
      <alignment vertical="center" wrapText="1"/>
    </xf>
    <xf numFmtId="3" fontId="30" fillId="13" borderId="67" xfId="0" applyNumberFormat="1" applyFont="1" applyFill="1" applyBorder="1" applyAlignment="1">
      <alignment horizontal="right" wrapText="1"/>
    </xf>
    <xf numFmtId="3" fontId="3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 wrapText="1"/>
    </xf>
    <xf numFmtId="3" fontId="20" fillId="13" borderId="72" xfId="0" applyNumberFormat="1" applyFont="1" applyFill="1" applyBorder="1" applyAlignment="1">
      <alignment horizontal="right"/>
    </xf>
    <xf numFmtId="3" fontId="20" fillId="13" borderId="73" xfId="0" applyNumberFormat="1" applyFont="1" applyFill="1" applyBorder="1" applyAlignment="1">
      <alignment horizontal="right"/>
    </xf>
    <xf numFmtId="3" fontId="30" fillId="0" borderId="71" xfId="0" applyNumberFormat="1" applyFont="1" applyFill="1" applyBorder="1" applyAlignment="1">
      <alignment horizontal="right" wrapText="1"/>
    </xf>
    <xf numFmtId="3" fontId="30" fillId="0" borderId="69" xfId="0" applyNumberFormat="1" applyFont="1" applyFill="1" applyBorder="1" applyAlignment="1">
      <alignment horizontal="right" wrapText="1"/>
    </xf>
    <xf numFmtId="3" fontId="30" fillId="13" borderId="71" xfId="0" applyNumberFormat="1" applyFont="1" applyFill="1" applyBorder="1" applyAlignment="1">
      <alignment horizontal="right" wrapText="1"/>
    </xf>
    <xf numFmtId="3" fontId="30" fillId="13" borderId="69" xfId="0" applyNumberFormat="1" applyFont="1" applyFill="1" applyBorder="1" applyAlignment="1">
      <alignment horizontal="right" wrapText="1"/>
    </xf>
    <xf numFmtId="3" fontId="21" fillId="0" borderId="97" xfId="0" applyNumberFormat="1" applyFont="1" applyFill="1" applyBorder="1" applyAlignment="1">
      <alignment horizontal="left" vertical="center" wrapText="1"/>
    </xf>
    <xf numFmtId="3" fontId="21" fillId="0" borderId="71" xfId="0" applyNumberFormat="1" applyFont="1" applyFill="1" applyBorder="1" applyAlignment="1">
      <alignment horizontal="left" vertical="center" wrapText="1"/>
    </xf>
    <xf numFmtId="3" fontId="21" fillId="0" borderId="69" xfId="0" applyNumberFormat="1" applyFont="1" applyFill="1" applyBorder="1" applyAlignment="1">
      <alignment horizontal="left" vertical="center" wrapText="1"/>
    </xf>
    <xf numFmtId="3" fontId="21" fillId="0" borderId="70" xfId="0" applyNumberFormat="1" applyFont="1" applyFill="1" applyBorder="1" applyAlignment="1">
      <alignment horizontal="left" vertical="center" wrapText="1"/>
    </xf>
    <xf numFmtId="0" fontId="20" fillId="0" borderId="107" xfId="0" applyFont="1" applyFill="1" applyBorder="1" applyAlignment="1">
      <alignment wrapText="1"/>
    </xf>
    <xf numFmtId="3" fontId="21" fillId="0" borderId="108" xfId="0" applyNumberFormat="1" applyFont="1" applyFill="1" applyBorder="1" applyAlignment="1">
      <alignment horizontal="left" vertical="center" wrapText="1"/>
    </xf>
    <xf numFmtId="3" fontId="21" fillId="0" borderId="109" xfId="0" applyNumberFormat="1" applyFont="1" applyFill="1" applyBorder="1" applyAlignment="1">
      <alignment horizontal="left" vertical="center" wrapText="1"/>
    </xf>
    <xf numFmtId="3" fontId="20" fillId="0" borderId="109" xfId="0" applyNumberFormat="1" applyFont="1" applyFill="1" applyBorder="1" applyAlignment="1">
      <alignment horizontal="right" wrapText="1"/>
    </xf>
    <xf numFmtId="3" fontId="21" fillId="0" borderId="110" xfId="0" applyNumberFormat="1" applyFont="1" applyFill="1" applyBorder="1" applyAlignment="1">
      <alignment horizontal="left" vertical="center" wrapText="1"/>
    </xf>
    <xf numFmtId="0" fontId="20" fillId="0" borderId="69" xfId="0" applyFont="1" applyFill="1" applyBorder="1" applyAlignment="1">
      <alignment wrapText="1"/>
    </xf>
    <xf numFmtId="0" fontId="48" fillId="0" borderId="72" xfId="0" applyFont="1" applyBorder="1" applyAlignment="1">
      <alignment wrapText="1"/>
    </xf>
    <xf numFmtId="167" fontId="48" fillId="0" borderId="72" xfId="5" applyNumberFormat="1" applyFont="1" applyFill="1" applyBorder="1"/>
    <xf numFmtId="0" fontId="41" fillId="0" borderId="72" xfId="0" applyFont="1" applyBorder="1" applyAlignment="1">
      <alignment horizontal="left"/>
    </xf>
    <xf numFmtId="0" fontId="41" fillId="0" borderId="72" xfId="0" applyFont="1" applyBorder="1"/>
    <xf numFmtId="167" fontId="41" fillId="0" borderId="72" xfId="5" applyNumberFormat="1" applyFont="1" applyFill="1" applyBorder="1"/>
    <xf numFmtId="167" fontId="0" fillId="11" borderId="72" xfId="5" applyNumberFormat="1" applyFont="1" applyFill="1" applyBorder="1"/>
    <xf numFmtId="166" fontId="28" fillId="0" borderId="62" xfId="7" applyNumberFormat="1" applyFont="1" applyFill="1" applyBorder="1" applyAlignment="1" applyProtection="1">
      <alignment horizontal="center" vertical="center" wrapText="1"/>
    </xf>
    <xf numFmtId="0" fontId="47" fillId="0" borderId="0" xfId="0" applyFont="1" applyFill="1" applyAlignment="1">
      <alignment horizontal="center"/>
    </xf>
    <xf numFmtId="0" fontId="47" fillId="0" borderId="0" xfId="0" applyFont="1" applyFill="1"/>
    <xf numFmtId="3" fontId="47" fillId="0" borderId="0" xfId="0" applyNumberFormat="1" applyFont="1" applyFill="1" applyAlignment="1">
      <alignment horizontal="right"/>
    </xf>
    <xf numFmtId="0" fontId="49" fillId="0" borderId="111" xfId="0" applyFont="1" applyFill="1" applyBorder="1" applyAlignment="1">
      <alignment horizontal="center" vertical="center" wrapText="1"/>
    </xf>
    <xf numFmtId="3" fontId="41" fillId="0" borderId="111" xfId="0" applyNumberFormat="1" applyFont="1" applyFill="1" applyBorder="1" applyAlignment="1">
      <alignment horizontal="center" vertical="center" wrapText="1"/>
    </xf>
    <xf numFmtId="3" fontId="49" fillId="0" borderId="111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49" fontId="49" fillId="0" borderId="111" xfId="0" applyNumberFormat="1" applyFont="1" applyFill="1" applyBorder="1" applyAlignment="1">
      <alignment horizontal="left"/>
    </xf>
    <xf numFmtId="0" fontId="49" fillId="0" borderId="111" xfId="0" applyFont="1" applyFill="1" applyBorder="1"/>
    <xf numFmtId="3" fontId="49" fillId="0" borderId="111" xfId="0" applyNumberFormat="1" applyFont="1" applyFill="1" applyBorder="1"/>
    <xf numFmtId="3" fontId="47" fillId="0" borderId="0" xfId="0" applyNumberFormat="1" applyFont="1" applyFill="1"/>
    <xf numFmtId="0" fontId="49" fillId="0" borderId="111" xfId="0" applyFont="1" applyFill="1" applyBorder="1" applyAlignment="1">
      <alignment horizontal="center" vertical="center"/>
    </xf>
    <xf numFmtId="0" fontId="50" fillId="0" borderId="111" xfId="0" applyFont="1" applyFill="1" applyBorder="1" applyAlignment="1">
      <alignment vertical="center"/>
    </xf>
    <xf numFmtId="3" fontId="49" fillId="0" borderId="111" xfId="0" applyNumberFormat="1" applyFont="1" applyFill="1" applyBorder="1" applyAlignment="1">
      <alignment vertical="center"/>
    </xf>
    <xf numFmtId="0" fontId="49" fillId="0" borderId="111" xfId="0" applyFont="1" applyFill="1" applyBorder="1" applyAlignment="1">
      <alignment horizontal="center"/>
    </xf>
    <xf numFmtId="3" fontId="49" fillId="0" borderId="111" xfId="0" applyNumberFormat="1" applyFont="1" applyFill="1" applyBorder="1" applyAlignment="1"/>
    <xf numFmtId="0" fontId="47" fillId="0" borderId="111" xfId="0" applyFont="1" applyFill="1" applyBorder="1" applyAlignment="1">
      <alignment horizontal="center"/>
    </xf>
    <xf numFmtId="0" fontId="47" fillId="0" borderId="111" xfId="0" applyFont="1" applyFill="1" applyBorder="1"/>
    <xf numFmtId="3" fontId="47" fillId="0" borderId="111" xfId="0" applyNumberFormat="1" applyFont="1" applyFill="1" applyBorder="1"/>
    <xf numFmtId="0" fontId="47" fillId="0" borderId="111" xfId="0" applyFont="1" applyFill="1" applyBorder="1" applyAlignment="1">
      <alignment horizontal="left" indent="3"/>
    </xf>
    <xf numFmtId="0" fontId="47" fillId="0" borderId="111" xfId="0" applyFont="1" applyFill="1" applyBorder="1" applyAlignment="1">
      <alignment horizontal="left"/>
    </xf>
    <xf numFmtId="16" fontId="47" fillId="0" borderId="111" xfId="0" applyNumberFormat="1" applyFont="1" applyFill="1" applyBorder="1" applyAlignment="1">
      <alignment horizontal="left"/>
    </xf>
    <xf numFmtId="3" fontId="47" fillId="0" borderId="0" xfId="0" applyNumberFormat="1" applyFont="1" applyFill="1" applyAlignment="1">
      <alignment horizontal="center" vertical="center" wrapText="1"/>
    </xf>
    <xf numFmtId="0" fontId="51" fillId="0" borderId="114" xfId="0" applyFont="1" applyBorder="1" applyAlignment="1">
      <alignment horizontal="center" vertical="center" wrapText="1"/>
    </xf>
    <xf numFmtId="0" fontId="51" fillId="0" borderId="112" xfId="0" applyFont="1" applyBorder="1" applyAlignment="1">
      <alignment horizontal="right" vertical="center" wrapText="1"/>
    </xf>
    <xf numFmtId="0" fontId="51" fillId="0" borderId="112" xfId="0" applyFont="1" applyBorder="1" applyAlignment="1">
      <alignment vertical="center" wrapText="1"/>
    </xf>
    <xf numFmtId="3" fontId="51" fillId="0" borderId="114" xfId="0" applyNumberFormat="1" applyFont="1" applyBorder="1" applyAlignment="1">
      <alignment horizontal="right" vertical="center" wrapText="1"/>
    </xf>
    <xf numFmtId="0" fontId="51" fillId="0" borderId="114" xfId="0" applyFont="1" applyBorder="1" applyAlignment="1">
      <alignment horizontal="right" vertical="center" wrapText="1"/>
    </xf>
    <xf numFmtId="0" fontId="42" fillId="0" borderId="112" xfId="0" applyFont="1" applyBorder="1" applyAlignment="1">
      <alignment vertical="center" wrapText="1"/>
    </xf>
    <xf numFmtId="3" fontId="42" fillId="0" borderId="114" xfId="0" applyNumberFormat="1" applyFont="1" applyBorder="1" applyAlignment="1">
      <alignment horizontal="right" vertical="center" wrapText="1"/>
    </xf>
    <xf numFmtId="0" fontId="42" fillId="0" borderId="114" xfId="0" applyFont="1" applyBorder="1" applyAlignment="1">
      <alignment horizontal="right" vertical="center" wrapText="1"/>
    </xf>
    <xf numFmtId="0" fontId="51" fillId="0" borderId="115" xfId="0" applyFont="1" applyBorder="1" applyAlignment="1">
      <alignment vertical="center" wrapText="1"/>
    </xf>
    <xf numFmtId="3" fontId="51" fillId="0" borderId="115" xfId="0" applyNumberFormat="1" applyFont="1" applyBorder="1" applyAlignment="1">
      <alignment horizontal="right" vertical="center" wrapText="1"/>
    </xf>
    <xf numFmtId="0" fontId="51" fillId="0" borderId="115" xfId="0" applyFont="1" applyBorder="1" applyAlignment="1">
      <alignment horizontal="right" vertical="center" wrapText="1"/>
    </xf>
    <xf numFmtId="0" fontId="42" fillId="0" borderId="115" xfId="0" applyFont="1" applyBorder="1" applyAlignment="1">
      <alignment vertical="center" wrapText="1"/>
    </xf>
    <xf numFmtId="3" fontId="42" fillId="0" borderId="115" xfId="0" applyNumberFormat="1" applyFont="1" applyBorder="1" applyAlignment="1">
      <alignment horizontal="right" vertical="center" wrapText="1"/>
    </xf>
    <xf numFmtId="0" fontId="42" fillId="0" borderId="115" xfId="0" applyFont="1" applyBorder="1" applyAlignment="1">
      <alignment horizontal="right" vertical="center" wrapText="1"/>
    </xf>
    <xf numFmtId="0" fontId="51" fillId="0" borderId="114" xfId="0" applyFont="1" applyBorder="1" applyAlignment="1">
      <alignment vertical="center" wrapText="1"/>
    </xf>
    <xf numFmtId="0" fontId="51" fillId="0" borderId="113" xfId="0" applyFont="1" applyBorder="1" applyAlignment="1">
      <alignment horizontal="right" vertical="center" wrapText="1"/>
    </xf>
    <xf numFmtId="0" fontId="42" fillId="0" borderId="112" xfId="0" applyFont="1" applyBorder="1" applyAlignment="1">
      <alignment horizontal="right" vertical="center" wrapText="1"/>
    </xf>
    <xf numFmtId="0" fontId="42" fillId="0" borderId="113" xfId="0" applyFont="1" applyBorder="1" applyAlignment="1">
      <alignment vertical="center" wrapText="1"/>
    </xf>
    <xf numFmtId="0" fontId="42" fillId="0" borderId="113" xfId="0" applyFont="1" applyBorder="1" applyAlignment="1">
      <alignment horizontal="right" vertical="center" wrapText="1"/>
    </xf>
    <xf numFmtId="3" fontId="42" fillId="0" borderId="114" xfId="0" applyNumberFormat="1" applyFont="1" applyBorder="1" applyAlignment="1">
      <alignment vertical="center" wrapText="1"/>
    </xf>
    <xf numFmtId="166" fontId="21" fillId="10" borderId="71" xfId="0" applyNumberFormat="1" applyFont="1" applyFill="1" applyBorder="1" applyAlignment="1" applyProtection="1">
      <alignment horizontal="right" vertical="center" wrapText="1"/>
    </xf>
    <xf numFmtId="166" fontId="21" fillId="10" borderId="71" xfId="9" applyNumberFormat="1" applyFont="1" applyFill="1" applyBorder="1" applyAlignment="1" applyProtection="1">
      <alignment horizontal="right" vertical="center" wrapText="1"/>
    </xf>
    <xf numFmtId="3" fontId="27" fillId="0" borderId="0" xfId="0" applyNumberFormat="1" applyFont="1" applyBorder="1" applyAlignment="1">
      <alignment horizontal="right" vertical="top" wrapText="1"/>
    </xf>
    <xf numFmtId="165" fontId="1" fillId="0" borderId="0" xfId="4" applyNumberFormat="1" applyFont="1"/>
    <xf numFmtId="165" fontId="1" fillId="0" borderId="0" xfId="4" applyNumberFormat="1" applyFont="1" applyAlignment="1">
      <alignment horizontal="center"/>
    </xf>
    <xf numFmtId="165" fontId="0" fillId="0" borderId="0" xfId="4" applyNumberFormat="1" applyFont="1" applyAlignment="1">
      <alignment horizontal="center"/>
    </xf>
    <xf numFmtId="165" fontId="41" fillId="0" borderId="72" xfId="4" applyNumberFormat="1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vertical="center"/>
    </xf>
    <xf numFmtId="0" fontId="0" fillId="0" borderId="72" xfId="0" applyFill="1" applyBorder="1" applyAlignment="1">
      <alignment vertical="center" wrapText="1"/>
    </xf>
    <xf numFmtId="165" fontId="1" fillId="0" borderId="72" xfId="4" applyNumberFormat="1" applyFont="1" applyFill="1" applyBorder="1" applyAlignment="1">
      <alignment vertical="center"/>
    </xf>
    <xf numFmtId="165" fontId="1" fillId="0" borderId="72" xfId="4" applyNumberFormat="1" applyFont="1" applyFill="1" applyBorder="1" applyAlignment="1">
      <alignment horizontal="right" vertical="center"/>
    </xf>
    <xf numFmtId="165" fontId="1" fillId="0" borderId="72" xfId="4" applyNumberFormat="1" applyFont="1" applyFill="1" applyBorder="1" applyAlignment="1">
      <alignment horizontal="center" vertical="center"/>
    </xf>
    <xf numFmtId="0" fontId="41" fillId="0" borderId="72" xfId="0" applyFont="1" applyFill="1" applyBorder="1" applyAlignment="1">
      <alignment horizontal="center"/>
    </xf>
    <xf numFmtId="165" fontId="41" fillId="0" borderId="72" xfId="4" applyNumberFormat="1" applyFont="1" applyFill="1" applyBorder="1"/>
    <xf numFmtId="165" fontId="41" fillId="0" borderId="72" xfId="4" applyNumberFormat="1" applyFont="1" applyFill="1" applyBorder="1" applyAlignment="1">
      <alignment horizontal="center"/>
    </xf>
    <xf numFmtId="0" fontId="41" fillId="0" borderId="0" xfId="0" applyFont="1"/>
    <xf numFmtId="3" fontId="0" fillId="0" borderId="72" xfId="0" applyNumberFormat="1" applyBorder="1"/>
    <xf numFmtId="0" fontId="54" fillId="0" borderId="2" xfId="0" applyFont="1" applyBorder="1" applyAlignment="1">
      <alignment horizontal="center" vertical="top" wrapText="1"/>
    </xf>
    <xf numFmtId="0" fontId="53" fillId="0" borderId="2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55" fillId="0" borderId="1" xfId="0" applyFont="1" applyBorder="1" applyAlignment="1">
      <alignment horizontal="center" vertical="center" wrapText="1"/>
    </xf>
    <xf numFmtId="3" fontId="5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0" fontId="55" fillId="2" borderId="1" xfId="0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vertical="center" wrapText="1"/>
    </xf>
    <xf numFmtId="3" fontId="55" fillId="2" borderId="1" xfId="0" applyNumberFormat="1" applyFont="1" applyFill="1" applyBorder="1" applyAlignment="1">
      <alignment vertical="center"/>
    </xf>
    <xf numFmtId="0" fontId="55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vertical="center" wrapText="1"/>
    </xf>
    <xf numFmtId="3" fontId="55" fillId="0" borderId="1" xfId="0" applyNumberFormat="1" applyFont="1" applyFill="1" applyBorder="1" applyAlignment="1">
      <alignment vertical="center"/>
    </xf>
    <xf numFmtId="0" fontId="47" fillId="0" borderId="1" xfId="0" applyFont="1" applyBorder="1" applyAlignment="1">
      <alignment wrapText="1"/>
    </xf>
    <xf numFmtId="3" fontId="47" fillId="0" borderId="1" xfId="0" applyNumberFormat="1" applyFont="1" applyBorder="1"/>
    <xf numFmtId="3" fontId="47" fillId="3" borderId="1" xfId="0" applyNumberFormat="1" applyFont="1" applyFill="1" applyBorder="1"/>
    <xf numFmtId="0" fontId="19" fillId="2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3" fontId="19" fillId="0" borderId="1" xfId="0" applyNumberFormat="1" applyFont="1" applyFill="1" applyBorder="1" applyAlignment="1">
      <alignment vertical="center"/>
    </xf>
    <xf numFmtId="0" fontId="37" fillId="0" borderId="83" xfId="7" applyFont="1" applyFill="1" applyBorder="1" applyAlignment="1">
      <alignment vertical="center" wrapText="1"/>
    </xf>
    <xf numFmtId="0" fontId="37" fillId="0" borderId="116" xfId="7" applyFont="1" applyFill="1" applyBorder="1" applyAlignment="1">
      <alignment horizontal="center" vertical="center" wrapText="1"/>
    </xf>
    <xf numFmtId="0" fontId="37" fillId="0" borderId="117" xfId="7" applyFont="1" applyFill="1" applyBorder="1" applyAlignment="1">
      <alignment horizontal="center" vertical="center" wrapText="1"/>
    </xf>
    <xf numFmtId="166" fontId="37" fillId="0" borderId="72" xfId="0" applyNumberFormat="1" applyFont="1" applyFill="1" applyBorder="1" applyAlignment="1" applyProtection="1">
      <alignment horizontal="center" vertical="center" wrapText="1"/>
    </xf>
    <xf numFmtId="0" fontId="56" fillId="0" borderId="0" xfId="0" applyFont="1" applyFill="1" applyBorder="1" applyAlignment="1">
      <alignment vertical="center"/>
    </xf>
    <xf numFmtId="0" fontId="37" fillId="0" borderId="83" xfId="7" applyFont="1" applyFill="1" applyBorder="1" applyAlignment="1">
      <alignment horizontal="left" vertical="center" wrapText="1"/>
    </xf>
    <xf numFmtId="0" fontId="57" fillId="0" borderId="118" xfId="0" applyFont="1" applyFill="1" applyBorder="1" applyAlignment="1">
      <alignment horizontal="center" vertical="center"/>
    </xf>
    <xf numFmtId="0" fontId="37" fillId="0" borderId="12" xfId="7" applyFont="1" applyFill="1" applyBorder="1" applyAlignment="1">
      <alignment horizontal="center" vertical="center" wrapText="1"/>
    </xf>
    <xf numFmtId="0" fontId="37" fillId="0" borderId="71" xfId="7" applyFont="1" applyFill="1" applyBorder="1" applyAlignment="1">
      <alignment vertical="center" wrapText="1"/>
    </xf>
    <xf numFmtId="0" fontId="37" fillId="0" borderId="69" xfId="7" applyFont="1" applyFill="1" applyBorder="1" applyAlignment="1">
      <alignment horizontal="center" vertical="center"/>
    </xf>
    <xf numFmtId="0" fontId="57" fillId="0" borderId="69" xfId="7" applyFont="1" applyFill="1" applyBorder="1" applyAlignment="1">
      <alignment horizontal="center" vertical="center"/>
    </xf>
    <xf numFmtId="0" fontId="44" fillId="0" borderId="67" xfId="7" applyFont="1" applyFill="1" applyBorder="1" applyAlignment="1">
      <alignment vertical="center"/>
    </xf>
    <xf numFmtId="0" fontId="44" fillId="0" borderId="72" xfId="7" applyFont="1" applyFill="1" applyBorder="1" applyAlignment="1">
      <alignment horizontal="center" vertical="center"/>
    </xf>
    <xf numFmtId="0" fontId="58" fillId="0" borderId="72" xfId="0" applyFont="1" applyFill="1" applyBorder="1" applyAlignment="1">
      <alignment horizontal="center" vertical="center"/>
    </xf>
    <xf numFmtId="0" fontId="37" fillId="0" borderId="67" xfId="7" applyFont="1" applyFill="1" applyBorder="1" applyAlignment="1">
      <alignment vertical="center" wrapText="1"/>
    </xf>
    <xf numFmtId="0" fontId="37" fillId="0" borderId="72" xfId="7" applyFont="1" applyFill="1" applyBorder="1" applyAlignment="1">
      <alignment horizontal="center" vertical="center"/>
    </xf>
    <xf numFmtId="0" fontId="57" fillId="0" borderId="72" xfId="0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 wrapText="1"/>
    </xf>
    <xf numFmtId="0" fontId="37" fillId="0" borderId="72" xfId="0" applyFont="1" applyFill="1" applyBorder="1" applyAlignment="1">
      <alignment horizontal="center" vertical="center" wrapText="1"/>
    </xf>
    <xf numFmtId="0" fontId="57" fillId="0" borderId="72" xfId="0" applyFont="1" applyFill="1" applyBorder="1" applyAlignment="1">
      <alignment horizontal="center" vertical="center" wrapText="1"/>
    </xf>
    <xf numFmtId="0" fontId="37" fillId="0" borderId="67" xfId="7" applyFont="1" applyFill="1" applyBorder="1" applyAlignment="1">
      <alignment vertical="center"/>
    </xf>
    <xf numFmtId="0" fontId="57" fillId="0" borderId="72" xfId="7" applyFont="1" applyFill="1" applyBorder="1" applyAlignment="1">
      <alignment horizontal="center" vertical="center"/>
    </xf>
    <xf numFmtId="0" fontId="37" fillId="0" borderId="67" xfId="0" applyFont="1" applyFill="1" applyBorder="1" applyAlignment="1">
      <alignment vertical="center"/>
    </xf>
    <xf numFmtId="0" fontId="58" fillId="0" borderId="64" xfId="0" applyFont="1" applyFill="1" applyBorder="1" applyAlignment="1">
      <alignment horizontal="center" vertical="center"/>
    </xf>
    <xf numFmtId="0" fontId="44" fillId="0" borderId="64" xfId="0" applyFont="1" applyFill="1" applyBorder="1" applyAlignment="1">
      <alignment horizontal="center" vertical="center"/>
    </xf>
    <xf numFmtId="0" fontId="56" fillId="0" borderId="0" xfId="0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49" fontId="59" fillId="0" borderId="0" xfId="0" applyNumberFormat="1" applyFont="1" applyFill="1" applyAlignment="1">
      <alignment vertical="center"/>
    </xf>
    <xf numFmtId="0" fontId="56" fillId="0" borderId="0" xfId="0" applyFont="1" applyFill="1"/>
    <xf numFmtId="0" fontId="56" fillId="0" borderId="0" xfId="0" applyFont="1"/>
    <xf numFmtId="0" fontId="56" fillId="0" borderId="0" xfId="0" applyFont="1" applyBorder="1"/>
    <xf numFmtId="49" fontId="59" fillId="0" borderId="119" xfId="0" applyNumberFormat="1" applyFont="1" applyFill="1" applyBorder="1" applyAlignment="1">
      <alignment horizontal="center" vertical="center"/>
    </xf>
    <xf numFmtId="0" fontId="59" fillId="0" borderId="120" xfId="0" applyFont="1" applyFill="1" applyBorder="1" applyAlignment="1">
      <alignment horizontal="center" vertical="center"/>
    </xf>
    <xf numFmtId="0" fontId="59" fillId="0" borderId="120" xfId="0" applyFont="1" applyFill="1" applyBorder="1" applyAlignment="1">
      <alignment horizontal="center" vertical="center" wrapText="1"/>
    </xf>
    <xf numFmtId="0" fontId="59" fillId="0" borderId="121" xfId="0" applyFont="1" applyFill="1" applyBorder="1" applyAlignment="1">
      <alignment horizontal="center" vertical="center" wrapText="1"/>
    </xf>
    <xf numFmtId="49" fontId="56" fillId="0" borderId="122" xfId="0" applyNumberFormat="1" applyFont="1" applyFill="1" applyBorder="1" applyAlignment="1">
      <alignment vertical="center"/>
    </xf>
    <xf numFmtId="49" fontId="56" fillId="0" borderId="1" xfId="0" applyNumberFormat="1" applyFont="1" applyFill="1" applyBorder="1" applyAlignment="1">
      <alignment vertical="center" wrapText="1"/>
    </xf>
    <xf numFmtId="0" fontId="56" fillId="0" borderId="1" xfId="0" applyFont="1" applyFill="1" applyBorder="1" applyAlignment="1">
      <alignment horizontal="center" vertical="center"/>
    </xf>
    <xf numFmtId="3" fontId="56" fillId="0" borderId="1" xfId="0" applyNumberFormat="1" applyFont="1" applyFill="1" applyBorder="1"/>
    <xf numFmtId="3" fontId="56" fillId="0" borderId="123" xfId="0" applyNumberFormat="1" applyFont="1" applyFill="1" applyBorder="1"/>
    <xf numFmtId="0" fontId="46" fillId="0" borderId="0" xfId="0" applyFont="1"/>
    <xf numFmtId="3" fontId="56" fillId="0" borderId="0" xfId="0" applyNumberFormat="1" applyFont="1" applyBorder="1"/>
    <xf numFmtId="0" fontId="59" fillId="0" borderId="0" xfId="0" applyFont="1" applyBorder="1" applyAlignment="1">
      <alignment horizontal="center" vertical="center" wrapText="1"/>
    </xf>
    <xf numFmtId="49" fontId="56" fillId="0" borderId="122" xfId="0" applyNumberFormat="1" applyFont="1" applyFill="1" applyBorder="1" applyAlignment="1">
      <alignment vertical="center" wrapText="1"/>
    </xf>
    <xf numFmtId="49" fontId="56" fillId="0" borderId="1" xfId="0" applyNumberFormat="1" applyFont="1" applyFill="1" applyBorder="1" applyAlignment="1">
      <alignment wrapText="1"/>
    </xf>
    <xf numFmtId="0" fontId="56" fillId="0" borderId="1" xfId="0" applyFont="1" applyFill="1" applyBorder="1"/>
    <xf numFmtId="49" fontId="56" fillId="0" borderId="124" xfId="0" applyNumberFormat="1" applyFont="1" applyFill="1" applyBorder="1" applyAlignment="1">
      <alignment vertical="center"/>
    </xf>
    <xf numFmtId="49" fontId="56" fillId="0" borderId="125" xfId="0" applyNumberFormat="1" applyFont="1" applyFill="1" applyBorder="1" applyAlignment="1">
      <alignment vertical="center" wrapText="1"/>
    </xf>
    <xf numFmtId="0" fontId="56" fillId="0" borderId="125" xfId="0" applyFont="1" applyFill="1" applyBorder="1" applyAlignment="1">
      <alignment horizontal="center" vertical="center"/>
    </xf>
    <xf numFmtId="3" fontId="56" fillId="0" borderId="125" xfId="0" applyNumberFormat="1" applyFont="1" applyFill="1" applyBorder="1"/>
    <xf numFmtId="3" fontId="56" fillId="0" borderId="126" xfId="0" applyNumberFormat="1" applyFont="1" applyFill="1" applyBorder="1"/>
    <xf numFmtId="49" fontId="59" fillId="0" borderId="119" xfId="0" applyNumberFormat="1" applyFont="1" applyFill="1" applyBorder="1" applyAlignment="1">
      <alignment vertical="center"/>
    </xf>
    <xf numFmtId="0" fontId="56" fillId="0" borderId="120" xfId="0" applyFont="1" applyFill="1" applyBorder="1"/>
    <xf numFmtId="0" fontId="56" fillId="0" borderId="121" xfId="0" applyFont="1" applyFill="1" applyBorder="1"/>
    <xf numFmtId="49" fontId="59" fillId="0" borderId="122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 wrapText="1"/>
    </xf>
    <xf numFmtId="0" fontId="59" fillId="0" borderId="123" xfId="0" applyFont="1" applyFill="1" applyBorder="1" applyAlignment="1">
      <alignment horizontal="center" vertical="center" wrapText="1"/>
    </xf>
    <xf numFmtId="0" fontId="56" fillId="0" borderId="123" xfId="0" applyFont="1" applyFill="1" applyBorder="1"/>
    <xf numFmtId="167" fontId="56" fillId="0" borderId="1" xfId="5" applyNumberFormat="1" applyFont="1" applyFill="1" applyBorder="1"/>
    <xf numFmtId="0" fontId="59" fillId="0" borderId="0" xfId="0" applyFont="1" applyFill="1" applyBorder="1" applyAlignment="1">
      <alignment horizontal="center" vertical="center" wrapText="1"/>
    </xf>
    <xf numFmtId="0" fontId="56" fillId="0" borderId="125" xfId="0" applyFont="1" applyFill="1" applyBorder="1"/>
    <xf numFmtId="49" fontId="56" fillId="0" borderId="120" xfId="0" applyNumberFormat="1" applyFont="1" applyFill="1" applyBorder="1" applyAlignment="1">
      <alignment vertical="center" wrapText="1"/>
    </xf>
    <xf numFmtId="0" fontId="56" fillId="0" borderId="120" xfId="0" applyFont="1" applyFill="1" applyBorder="1" applyAlignment="1">
      <alignment horizontal="center" vertical="center"/>
    </xf>
    <xf numFmtId="3" fontId="56" fillId="0" borderId="120" xfId="0" applyNumberFormat="1" applyFont="1" applyFill="1" applyBorder="1"/>
    <xf numFmtId="3" fontId="56" fillId="0" borderId="0" xfId="0" applyNumberFormat="1" applyFont="1" applyFill="1" applyBorder="1"/>
    <xf numFmtId="49" fontId="44" fillId="0" borderId="124" xfId="0" applyNumberFormat="1" applyFont="1" applyFill="1" applyBorder="1" applyAlignment="1">
      <alignment horizontal="left" vertical="center" wrapText="1"/>
    </xf>
    <xf numFmtId="0" fontId="56" fillId="0" borderId="125" xfId="0" applyFont="1" applyFill="1" applyBorder="1" applyAlignment="1">
      <alignment horizontal="center"/>
    </xf>
    <xf numFmtId="49" fontId="56" fillId="0" borderId="0" xfId="0" applyNumberFormat="1" applyFont="1" applyFill="1" applyBorder="1" applyAlignment="1">
      <alignment vertical="center" wrapText="1"/>
    </xf>
    <xf numFmtId="0" fontId="56" fillId="0" borderId="0" xfId="0" applyFont="1" applyFill="1" applyBorder="1" applyAlignment="1">
      <alignment horizontal="center" vertical="center"/>
    </xf>
    <xf numFmtId="0" fontId="56" fillId="0" borderId="0" xfId="0" applyFont="1" applyFill="1" applyBorder="1"/>
    <xf numFmtId="0" fontId="56" fillId="0" borderId="1" xfId="0" applyFont="1" applyFill="1" applyBorder="1" applyAlignment="1">
      <alignment horizontal="center"/>
    </xf>
    <xf numFmtId="49" fontId="56" fillId="0" borderId="127" xfId="0" applyNumberFormat="1" applyFont="1" applyFill="1" applyBorder="1" applyAlignment="1">
      <alignment horizontal="center" vertical="center" wrapText="1"/>
    </xf>
    <xf numFmtId="49" fontId="56" fillId="0" borderId="3" xfId="0" applyNumberFormat="1" applyFont="1" applyFill="1" applyBorder="1" applyAlignment="1">
      <alignment vertical="center" wrapText="1"/>
    </xf>
    <xf numFmtId="0" fontId="56" fillId="0" borderId="3" xfId="0" applyFont="1" applyFill="1" applyBorder="1" applyAlignment="1">
      <alignment horizontal="center"/>
    </xf>
    <xf numFmtId="3" fontId="56" fillId="0" borderId="3" xfId="0" applyNumberFormat="1" applyFont="1" applyFill="1" applyBorder="1"/>
    <xf numFmtId="3" fontId="56" fillId="0" borderId="128" xfId="0" applyNumberFormat="1" applyFont="1" applyFill="1" applyBorder="1"/>
    <xf numFmtId="49" fontId="56" fillId="0" borderId="124" xfId="0" applyNumberFormat="1" applyFont="1" applyFill="1" applyBorder="1" applyAlignment="1">
      <alignment horizontal="center" vertical="center" wrapText="1"/>
    </xf>
    <xf numFmtId="49" fontId="56" fillId="0" borderId="122" xfId="0" applyNumberFormat="1" applyFont="1" applyFill="1" applyBorder="1" applyAlignment="1">
      <alignment horizontal="center" vertical="center" wrapText="1"/>
    </xf>
    <xf numFmtId="0" fontId="56" fillId="0" borderId="3" xfId="0" applyFont="1" applyFill="1" applyBorder="1"/>
    <xf numFmtId="49" fontId="56" fillId="0" borderId="122" xfId="0" applyNumberFormat="1" applyFont="1" applyFill="1" applyBorder="1" applyAlignment="1">
      <alignment horizontal="left" vertical="center"/>
    </xf>
    <xf numFmtId="49" fontId="56" fillId="0" borderId="124" xfId="0" applyNumberFormat="1" applyFont="1" applyFill="1" applyBorder="1" applyAlignment="1">
      <alignment horizontal="left" vertical="center"/>
    </xf>
    <xf numFmtId="49" fontId="56" fillId="0" borderId="122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vertical="center" wrapText="1"/>
    </xf>
    <xf numFmtId="0" fontId="56" fillId="0" borderId="3" xfId="0" applyFont="1" applyFill="1" applyBorder="1" applyAlignment="1">
      <alignment horizontal="center" vertical="center"/>
    </xf>
    <xf numFmtId="49" fontId="56" fillId="0" borderId="124" xfId="0" applyNumberFormat="1" applyFont="1" applyFill="1" applyBorder="1" applyAlignment="1">
      <alignment horizontal="center" vertical="center"/>
    </xf>
    <xf numFmtId="0" fontId="56" fillId="0" borderId="125" xfId="0" applyFont="1" applyFill="1" applyBorder="1" applyAlignment="1">
      <alignment vertical="center" wrapText="1"/>
    </xf>
    <xf numFmtId="49" fontId="56" fillId="0" borderId="122" xfId="0" applyNumberFormat="1" applyFont="1" applyFill="1" applyBorder="1" applyAlignment="1">
      <alignment horizontal="left" vertical="center" wrapText="1"/>
    </xf>
    <xf numFmtId="49" fontId="44" fillId="0" borderId="122" xfId="0" applyNumberFormat="1" applyFont="1" applyFill="1" applyBorder="1" applyAlignment="1">
      <alignment horizontal="left" vertical="center" wrapText="1"/>
    </xf>
    <xf numFmtId="49" fontId="44" fillId="0" borderId="122" xfId="0" applyNumberFormat="1" applyFont="1" applyFill="1" applyBorder="1" applyAlignment="1">
      <alignment horizontal="center" vertical="center" wrapText="1"/>
    </xf>
    <xf numFmtId="49" fontId="44" fillId="0" borderId="124" xfId="0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56" fillId="0" borderId="125" xfId="0" applyFont="1" applyFill="1" applyBorder="1" applyAlignment="1">
      <alignment horizontal="left" vertical="center" wrapText="1"/>
    </xf>
    <xf numFmtId="49" fontId="56" fillId="0" borderId="124" xfId="0" applyNumberFormat="1" applyFont="1" applyFill="1" applyBorder="1" applyAlignment="1">
      <alignment vertical="center" wrapText="1"/>
    </xf>
    <xf numFmtId="49" fontId="56" fillId="0" borderId="122" xfId="0" applyNumberFormat="1" applyFont="1" applyFill="1" applyBorder="1"/>
    <xf numFmtId="49" fontId="56" fillId="0" borderId="1" xfId="0" applyNumberFormat="1" applyFont="1" applyFill="1" applyBorder="1" applyAlignment="1">
      <alignment horizontal="left" vertical="center" wrapText="1"/>
    </xf>
    <xf numFmtId="49" fontId="56" fillId="0" borderId="124" xfId="0" applyNumberFormat="1" applyFont="1" applyFill="1" applyBorder="1"/>
    <xf numFmtId="49" fontId="56" fillId="0" borderId="125" xfId="0" applyNumberFormat="1" applyFont="1" applyFill="1" applyBorder="1" applyAlignment="1">
      <alignment horizontal="left" vertical="center" wrapText="1"/>
    </xf>
    <xf numFmtId="49" fontId="56" fillId="0" borderId="122" xfId="0" applyNumberFormat="1" applyFont="1" applyFill="1" applyBorder="1" applyAlignment="1">
      <alignment horizontal="center"/>
    </xf>
    <xf numFmtId="49" fontId="56" fillId="0" borderId="124" xfId="0" applyNumberFormat="1" applyFont="1" applyFill="1" applyBorder="1" applyAlignment="1">
      <alignment horizontal="center"/>
    </xf>
    <xf numFmtId="0" fontId="0" fillId="0" borderId="72" xfId="0" applyFill="1" applyBorder="1" applyAlignment="1">
      <alignment wrapText="1"/>
    </xf>
    <xf numFmtId="0" fontId="0" fillId="0" borderId="59" xfId="0" applyBorder="1"/>
    <xf numFmtId="0" fontId="0" fillId="0" borderId="67" xfId="0" applyBorder="1" applyAlignment="1">
      <alignment wrapText="1"/>
    </xf>
    <xf numFmtId="3" fontId="0" fillId="0" borderId="101" xfId="0" applyNumberFormat="1" applyBorder="1"/>
    <xf numFmtId="0" fontId="0" fillId="0" borderId="67" xfId="0" applyBorder="1"/>
    <xf numFmtId="0" fontId="0" fillId="0" borderId="37" xfId="0" applyBorder="1" applyAlignment="1">
      <alignment wrapText="1"/>
    </xf>
    <xf numFmtId="0" fontId="0" fillId="0" borderId="67" xfId="0" applyFill="1" applyBorder="1" applyAlignment="1">
      <alignment wrapText="1"/>
    </xf>
    <xf numFmtId="3" fontId="0" fillId="0" borderId="101" xfId="0" applyNumberFormat="1" applyFill="1" applyBorder="1"/>
    <xf numFmtId="0" fontId="0" fillId="0" borderId="56" xfId="0" applyBorder="1"/>
    <xf numFmtId="3" fontId="0" fillId="0" borderId="10" xfId="0" applyNumberFormat="1" applyBorder="1" applyAlignment="1">
      <alignment horizontal="right"/>
    </xf>
    <xf numFmtId="3" fontId="0" fillId="0" borderId="57" xfId="0" applyNumberFormat="1" applyBorder="1"/>
    <xf numFmtId="0" fontId="39" fillId="7" borderId="0" xfId="7" applyFont="1" applyFill="1" applyBorder="1" applyAlignment="1" applyProtection="1">
      <alignment horizontal="center" vertical="center"/>
    </xf>
    <xf numFmtId="0" fontId="35" fillId="0" borderId="99" xfId="0" applyFont="1" applyFill="1" applyBorder="1" applyAlignment="1">
      <alignment horizontal="left" vertical="center" wrapText="1"/>
    </xf>
    <xf numFmtId="3" fontId="35" fillId="0" borderId="72" xfId="0" applyNumberFormat="1" applyFont="1" applyFill="1" applyBorder="1" applyAlignment="1">
      <alignment horizontal="right" wrapText="1"/>
    </xf>
    <xf numFmtId="3" fontId="21" fillId="0" borderId="102" xfId="0" applyNumberFormat="1" applyFont="1" applyFill="1" applyBorder="1" applyAlignment="1">
      <alignment horizontal="right" vertical="center"/>
    </xf>
    <xf numFmtId="3" fontId="21" fillId="0" borderId="90" xfId="0" applyNumberFormat="1" applyFont="1" applyFill="1" applyBorder="1" applyAlignment="1">
      <alignment horizontal="right"/>
    </xf>
    <xf numFmtId="3" fontId="36" fillId="0" borderId="90" xfId="0" applyNumberFormat="1" applyFont="1" applyFill="1" applyBorder="1" applyAlignment="1">
      <alignment horizontal="right"/>
    </xf>
    <xf numFmtId="3" fontId="21" fillId="0" borderId="129" xfId="0" applyNumberFormat="1" applyFont="1" applyFill="1" applyBorder="1" applyAlignment="1">
      <alignment horizontal="right" vertical="center" wrapText="1"/>
    </xf>
    <xf numFmtId="3" fontId="21" fillId="0" borderId="129" xfId="0" applyNumberFormat="1" applyFont="1" applyFill="1" applyBorder="1" applyAlignment="1">
      <alignment horizontal="left" vertical="center" wrapText="1"/>
    </xf>
    <xf numFmtId="3" fontId="21" fillId="12" borderId="90" xfId="0" applyNumberFormat="1" applyFont="1" applyFill="1" applyBorder="1" applyAlignment="1">
      <alignment horizontal="right"/>
    </xf>
    <xf numFmtId="3" fontId="21" fillId="0" borderId="129" xfId="16" applyNumberFormat="1" applyFont="1" applyFill="1" applyBorder="1" applyAlignment="1">
      <alignment horizontal="right" vertical="center" wrapText="1"/>
    </xf>
    <xf numFmtId="3" fontId="21" fillId="0" borderId="90" xfId="0" applyNumberFormat="1" applyFont="1" applyFill="1" applyBorder="1" applyAlignment="1">
      <alignment horizontal="right" vertical="center"/>
    </xf>
    <xf numFmtId="3" fontId="21" fillId="0" borderId="102" xfId="0" applyNumberFormat="1" applyFont="1" applyFill="1" applyBorder="1" applyAlignment="1">
      <alignment horizontal="right" vertical="center" wrapText="1"/>
    </xf>
    <xf numFmtId="3" fontId="21" fillId="13" borderId="102" xfId="0" applyNumberFormat="1" applyFont="1" applyFill="1" applyBorder="1" applyAlignment="1">
      <alignment horizontal="right" vertical="center" wrapText="1"/>
    </xf>
    <xf numFmtId="3" fontId="21" fillId="0" borderId="129" xfId="0" applyNumberFormat="1" applyFont="1" applyFill="1" applyBorder="1" applyAlignment="1">
      <alignment horizontal="right" vertical="center"/>
    </xf>
    <xf numFmtId="3" fontId="21" fillId="13" borderId="102" xfId="0" applyNumberFormat="1" applyFont="1" applyFill="1" applyBorder="1" applyAlignment="1">
      <alignment horizontal="right" vertical="center"/>
    </xf>
    <xf numFmtId="3" fontId="21" fillId="13" borderId="90" xfId="0" applyNumberFormat="1" applyFont="1" applyFill="1" applyBorder="1" applyAlignment="1">
      <alignment horizontal="right" vertical="center"/>
    </xf>
    <xf numFmtId="3" fontId="21" fillId="0" borderId="102" xfId="0" applyNumberFormat="1" applyFont="1" applyFill="1" applyBorder="1" applyAlignment="1">
      <alignment horizontal="left" vertical="center" wrapText="1"/>
    </xf>
    <xf numFmtId="3" fontId="21" fillId="0" borderId="130" xfId="0" applyNumberFormat="1" applyFont="1" applyFill="1" applyBorder="1" applyAlignment="1">
      <alignment horizontal="left" vertical="center" wrapText="1"/>
    </xf>
    <xf numFmtId="3" fontId="20" fillId="0" borderId="73" xfId="0" applyNumberFormat="1" applyFont="1" applyBorder="1" applyAlignment="1">
      <alignment horizontal="right" wrapText="1"/>
    </xf>
    <xf numFmtId="3" fontId="21" fillId="0" borderId="98" xfId="0" applyNumberFormat="1" applyFont="1" applyFill="1" applyBorder="1" applyAlignment="1">
      <alignment horizontal="left" vertical="center" wrapText="1"/>
    </xf>
    <xf numFmtId="3" fontId="21" fillId="0" borderId="131" xfId="0" applyNumberFormat="1" applyFont="1" applyFill="1" applyBorder="1" applyAlignment="1">
      <alignment horizontal="right" vertical="center"/>
    </xf>
    <xf numFmtId="3" fontId="21" fillId="0" borderId="132" xfId="0" applyNumberFormat="1" applyFont="1" applyFill="1" applyBorder="1" applyAlignment="1">
      <alignment horizontal="right"/>
    </xf>
    <xf numFmtId="3" fontId="21" fillId="12" borderId="132" xfId="0" applyNumberFormat="1" applyFont="1" applyFill="1" applyBorder="1" applyAlignment="1">
      <alignment horizontal="right"/>
    </xf>
    <xf numFmtId="3" fontId="36" fillId="0" borderId="132" xfId="0" applyNumberFormat="1" applyFont="1" applyFill="1" applyBorder="1" applyAlignment="1">
      <alignment horizontal="right"/>
    </xf>
    <xf numFmtId="3" fontId="21" fillId="0" borderId="133" xfId="16" applyNumberFormat="1" applyFont="1" applyFill="1" applyBorder="1" applyAlignment="1">
      <alignment horizontal="right" vertical="center" wrapText="1"/>
    </xf>
    <xf numFmtId="3" fontId="21" fillId="0" borderId="132" xfId="0" applyNumberFormat="1" applyFont="1" applyFill="1" applyBorder="1" applyAlignment="1">
      <alignment horizontal="right" vertical="center"/>
    </xf>
    <xf numFmtId="3" fontId="21" fillId="0" borderId="131" xfId="0" applyNumberFormat="1" applyFont="1" applyFill="1" applyBorder="1" applyAlignment="1">
      <alignment horizontal="right" vertical="center" wrapText="1"/>
    </xf>
    <xf numFmtId="3" fontId="21" fillId="0" borderId="133" xfId="0" applyNumberFormat="1" applyFont="1" applyFill="1" applyBorder="1" applyAlignment="1">
      <alignment horizontal="right" vertical="center" wrapText="1"/>
    </xf>
    <xf numFmtId="3" fontId="21" fillId="13" borderId="131" xfId="0" applyNumberFormat="1" applyFont="1" applyFill="1" applyBorder="1" applyAlignment="1">
      <alignment horizontal="right" vertical="center" wrapText="1"/>
    </xf>
    <xf numFmtId="3" fontId="21" fillId="0" borderId="133" xfId="0" applyNumberFormat="1" applyFont="1" applyFill="1" applyBorder="1" applyAlignment="1">
      <alignment horizontal="right" vertical="center"/>
    </xf>
    <xf numFmtId="3" fontId="21" fillId="13" borderId="131" xfId="0" applyNumberFormat="1" applyFont="1" applyFill="1" applyBorder="1" applyAlignment="1">
      <alignment horizontal="right" vertical="center"/>
    </xf>
    <xf numFmtId="3" fontId="21" fillId="13" borderId="132" xfId="0" applyNumberFormat="1" applyFont="1" applyFill="1" applyBorder="1" applyAlignment="1">
      <alignment horizontal="right" vertical="center"/>
    </xf>
    <xf numFmtId="3" fontId="21" fillId="0" borderId="133" xfId="0" applyNumberFormat="1" applyFont="1" applyFill="1" applyBorder="1" applyAlignment="1">
      <alignment horizontal="left" vertical="center" wrapText="1"/>
    </xf>
    <xf numFmtId="3" fontId="21" fillId="0" borderId="131" xfId="0" applyNumberFormat="1" applyFont="1" applyFill="1" applyBorder="1" applyAlignment="1">
      <alignment horizontal="left" vertical="center" wrapText="1"/>
    </xf>
    <xf numFmtId="3" fontId="21" fillId="0" borderId="55" xfId="0" applyNumberFormat="1" applyFont="1" applyFill="1" applyBorder="1" applyAlignment="1">
      <alignment horizontal="left" vertical="center" wrapText="1"/>
    </xf>
    <xf numFmtId="0" fontId="21" fillId="0" borderId="73" xfId="0" applyFont="1" applyFill="1" applyBorder="1"/>
    <xf numFmtId="0" fontId="21" fillId="0" borderId="73" xfId="0" applyFont="1" applyFill="1" applyBorder="1" applyAlignment="1">
      <alignment wrapText="1"/>
    </xf>
    <xf numFmtId="3" fontId="21" fillId="0" borderId="102" xfId="0" applyNumberFormat="1" applyFont="1" applyFill="1" applyBorder="1" applyAlignment="1">
      <alignment horizontal="right"/>
    </xf>
    <xf numFmtId="3" fontId="21" fillId="0" borderId="73" xfId="0" applyNumberFormat="1" applyFont="1" applyFill="1" applyBorder="1" applyAlignment="1">
      <alignment horizontal="left" wrapText="1"/>
    </xf>
    <xf numFmtId="3" fontId="20" fillId="0" borderId="73" xfId="0" applyNumberFormat="1" applyFont="1" applyFill="1" applyBorder="1" applyAlignment="1">
      <alignment horizontal="left" wrapText="1"/>
    </xf>
    <xf numFmtId="3" fontId="35" fillId="0" borderId="73" xfId="0" applyNumberFormat="1" applyFont="1" applyFill="1" applyBorder="1" applyAlignment="1">
      <alignment horizontal="left" wrapText="1"/>
    </xf>
    <xf numFmtId="0" fontId="20" fillId="0" borderId="73" xfId="0" applyFont="1" applyFill="1" applyBorder="1" applyAlignment="1">
      <alignment horizontal="left"/>
    </xf>
    <xf numFmtId="3" fontId="20" fillId="0" borderId="73" xfId="0" applyNumberFormat="1" applyFont="1" applyFill="1" applyBorder="1" applyAlignment="1">
      <alignment wrapText="1"/>
    </xf>
    <xf numFmtId="0" fontId="20" fillId="0" borderId="73" xfId="0" applyFont="1" applyFill="1" applyBorder="1"/>
    <xf numFmtId="0" fontId="20" fillId="0" borderId="73" xfId="0" applyFont="1" applyFill="1" applyBorder="1" applyAlignment="1"/>
    <xf numFmtId="0" fontId="20" fillId="0" borderId="73" xfId="0" applyFont="1" applyFill="1" applyBorder="1" applyAlignment="1">
      <alignment horizontal="left" vertical="center"/>
    </xf>
    <xf numFmtId="0" fontId="21" fillId="0" borderId="73" xfId="0" applyFont="1" applyFill="1" applyBorder="1" applyAlignment="1">
      <alignment horizontal="left" vertical="center"/>
    </xf>
    <xf numFmtId="0" fontId="20" fillId="0" borderId="69" xfId="0" applyFont="1" applyFill="1" applyBorder="1"/>
    <xf numFmtId="3" fontId="20" fillId="0" borderId="132" xfId="0" applyNumberFormat="1" applyFont="1" applyFill="1" applyBorder="1" applyAlignment="1">
      <alignment horizontal="left" wrapText="1"/>
    </xf>
    <xf numFmtId="3" fontId="20" fillId="0" borderId="131" xfId="0" applyNumberFormat="1" applyFont="1" applyFill="1" applyBorder="1" applyAlignment="1">
      <alignment horizontal="right"/>
    </xf>
    <xf numFmtId="0" fontId="21" fillId="0" borderId="132" xfId="0" applyFont="1" applyFill="1" applyBorder="1" applyAlignment="1">
      <alignment horizontal="left" vertical="center"/>
    </xf>
    <xf numFmtId="0" fontId="21" fillId="0" borderId="134" xfId="0" applyFont="1" applyFill="1" applyBorder="1" applyAlignment="1">
      <alignment horizontal="left" vertical="center"/>
    </xf>
    <xf numFmtId="38" fontId="30" fillId="10" borderId="72" xfId="0" applyNumberFormat="1" applyFont="1" applyFill="1" applyBorder="1" applyAlignment="1" applyProtection="1">
      <alignment vertical="center"/>
    </xf>
    <xf numFmtId="3" fontId="30" fillId="10" borderId="72" xfId="0" applyNumberFormat="1" applyFont="1" applyFill="1" applyBorder="1" applyAlignment="1" applyProtection="1">
      <alignment vertical="center" wrapText="1"/>
    </xf>
    <xf numFmtId="166" fontId="30" fillId="0" borderId="67" xfId="10" quotePrefix="1" applyNumberFormat="1" applyFont="1" applyFill="1" applyBorder="1" applyAlignment="1" applyProtection="1">
      <alignment horizontal="right" vertical="center" wrapText="1"/>
      <protection locked="0"/>
    </xf>
    <xf numFmtId="0" fontId="21" fillId="0" borderId="67" xfId="0" applyFont="1" applyFill="1" applyBorder="1" applyAlignment="1">
      <alignment horizontal="left" vertical="center" wrapText="1"/>
    </xf>
    <xf numFmtId="0" fontId="29" fillId="0" borderId="67" xfId="0" applyFont="1" applyFill="1" applyBorder="1" applyAlignment="1">
      <alignment horizontal="right" vertical="center" wrapText="1"/>
    </xf>
    <xf numFmtId="166" fontId="30" fillId="0" borderId="67" xfId="10" applyNumberFormat="1" applyFont="1" applyFill="1" applyBorder="1" applyAlignment="1" applyProtection="1">
      <alignment horizontal="right" vertical="center" wrapText="1"/>
    </xf>
    <xf numFmtId="3" fontId="30" fillId="0" borderId="67" xfId="0" applyNumberFormat="1" applyFont="1" applyFill="1" applyBorder="1" applyAlignment="1" applyProtection="1">
      <alignment horizontal="right" vertical="center" wrapText="1"/>
    </xf>
    <xf numFmtId="3" fontId="21" fillId="0" borderId="67" xfId="0" applyNumberFormat="1" applyFont="1" applyFill="1" applyBorder="1" applyAlignment="1" applyProtection="1">
      <alignment horizontal="right" vertical="center" wrapText="1"/>
    </xf>
    <xf numFmtId="3" fontId="20" fillId="0" borderId="67" xfId="0" applyNumberFormat="1" applyFont="1" applyFill="1" applyBorder="1" applyAlignment="1" applyProtection="1">
      <alignment horizontal="right" vertical="center" wrapText="1"/>
    </xf>
    <xf numFmtId="0" fontId="21" fillId="0" borderId="72" xfId="0" applyFont="1" applyFill="1" applyBorder="1" applyAlignment="1">
      <alignment horizontal="left" vertical="center" wrapText="1"/>
    </xf>
    <xf numFmtId="166" fontId="21" fillId="0" borderId="73" xfId="0" applyNumberFormat="1" applyFont="1" applyFill="1" applyBorder="1" applyAlignment="1" applyProtection="1">
      <alignment horizontal="left" vertical="center"/>
    </xf>
    <xf numFmtId="166" fontId="30" fillId="0" borderId="67" xfId="9" applyNumberFormat="1" applyFont="1" applyFill="1" applyBorder="1" applyAlignment="1" applyProtection="1">
      <alignment horizontal="right" vertical="center" wrapText="1"/>
    </xf>
    <xf numFmtId="166" fontId="29" fillId="0" borderId="70" xfId="0" applyNumberFormat="1" applyFont="1" applyFill="1" applyBorder="1" applyAlignment="1" applyProtection="1">
      <alignment vertical="center"/>
    </xf>
    <xf numFmtId="0" fontId="30" fillId="0" borderId="72" xfId="0" applyFont="1" applyFill="1" applyBorder="1" applyAlignment="1">
      <alignment horizontal="left" vertical="center" wrapText="1"/>
    </xf>
    <xf numFmtId="166" fontId="29" fillId="0" borderId="73" xfId="0" applyNumberFormat="1" applyFont="1" applyFill="1" applyBorder="1" applyAlignment="1" applyProtection="1">
      <alignment horizontal="right" vertical="center"/>
    </xf>
    <xf numFmtId="166" fontId="20" fillId="10" borderId="73" xfId="0" applyNumberFormat="1" applyFont="1" applyFill="1" applyBorder="1" applyAlignment="1" applyProtection="1">
      <alignment horizontal="right" vertical="center"/>
    </xf>
    <xf numFmtId="166" fontId="20" fillId="0" borderId="73" xfId="0" applyNumberFormat="1" applyFont="1" applyFill="1" applyBorder="1" applyAlignment="1" applyProtection="1">
      <alignment horizontal="right" vertical="center"/>
    </xf>
    <xf numFmtId="166" fontId="20" fillId="0" borderId="67" xfId="9" applyNumberFormat="1" applyFont="1" applyFill="1" applyBorder="1" applyAlignment="1" applyProtection="1">
      <alignment horizontal="right" vertical="center" wrapText="1"/>
      <protection locked="0"/>
    </xf>
    <xf numFmtId="0" fontId="29" fillId="0" borderId="72" xfId="0" applyFont="1" applyFill="1" applyBorder="1" applyAlignment="1">
      <alignment horizontal="left" vertical="center" wrapText="1"/>
    </xf>
    <xf numFmtId="166" fontId="30" fillId="0" borderId="67" xfId="7" applyNumberFormat="1" applyFont="1" applyFill="1" applyBorder="1" applyAlignment="1" applyProtection="1">
      <alignment horizontal="right" vertical="center" wrapText="1"/>
    </xf>
    <xf numFmtId="166" fontId="20" fillId="0" borderId="85" xfId="0" applyNumberFormat="1" applyFont="1" applyFill="1" applyBorder="1" applyAlignment="1" applyProtection="1">
      <alignment horizontal="right" vertical="center"/>
    </xf>
    <xf numFmtId="0" fontId="39" fillId="0" borderId="0" xfId="7" applyFont="1" applyFill="1" applyBorder="1" applyAlignment="1" applyProtection="1">
      <alignment horizontal="right" vertical="center"/>
    </xf>
    <xf numFmtId="3" fontId="39" fillId="0" borderId="13" xfId="0" applyNumberFormat="1" applyFont="1" applyFill="1" applyBorder="1" applyAlignment="1" applyProtection="1">
      <alignment vertical="center"/>
    </xf>
    <xf numFmtId="3" fontId="38" fillId="7" borderId="0" xfId="0" applyNumberFormat="1" applyFont="1" applyFill="1" applyBorder="1" applyAlignment="1" applyProtection="1">
      <alignment horizontal="right"/>
    </xf>
    <xf numFmtId="3" fontId="39" fillId="7" borderId="0" xfId="0" applyNumberFormat="1" applyFont="1" applyFill="1" applyBorder="1" applyAlignment="1" applyProtection="1">
      <alignment horizontal="right"/>
    </xf>
    <xf numFmtId="0" fontId="39" fillId="0" borderId="93" xfId="7" applyFont="1" applyFill="1" applyBorder="1" applyAlignment="1" applyProtection="1">
      <alignment horizontal="left" vertical="center"/>
    </xf>
    <xf numFmtId="0" fontId="39" fillId="0" borderId="94" xfId="7" applyFont="1" applyFill="1" applyBorder="1" applyAlignment="1" applyProtection="1">
      <alignment horizontal="center" vertical="center"/>
    </xf>
    <xf numFmtId="0" fontId="39" fillId="0" borderId="94" xfId="7" applyFont="1" applyFill="1" applyBorder="1" applyAlignment="1" applyProtection="1">
      <alignment horizontal="left" vertical="center" wrapText="1" shrinkToFit="1"/>
    </xf>
    <xf numFmtId="0" fontId="39" fillId="0" borderId="94" xfId="7" applyFont="1" applyFill="1" applyBorder="1" applyAlignment="1" applyProtection="1">
      <alignment horizontal="right" vertical="center"/>
    </xf>
    <xf numFmtId="0" fontId="39" fillId="0" borderId="135" xfId="7" applyFont="1" applyFill="1" applyBorder="1" applyAlignment="1" applyProtection="1">
      <alignment horizontal="left" vertical="center"/>
    </xf>
    <xf numFmtId="0" fontId="39" fillId="0" borderId="3" xfId="7" applyFont="1" applyFill="1" applyBorder="1" applyAlignment="1" applyProtection="1">
      <alignment horizontal="center" vertical="center"/>
    </xf>
    <xf numFmtId="0" fontId="39" fillId="0" borderId="3" xfId="7" applyFont="1" applyFill="1" applyBorder="1" applyAlignment="1" applyProtection="1">
      <alignment horizontal="left" vertical="center" wrapText="1" shrinkToFit="1"/>
    </xf>
    <xf numFmtId="0" fontId="39" fillId="0" borderId="140" xfId="7" applyFont="1" applyFill="1" applyBorder="1" applyAlignment="1" applyProtection="1">
      <alignment horizontal="left" vertical="center"/>
    </xf>
    <xf numFmtId="0" fontId="39" fillId="0" borderId="141" xfId="7" applyFont="1" applyFill="1" applyBorder="1" applyAlignment="1" applyProtection="1">
      <alignment horizontal="left" vertical="center"/>
    </xf>
    <xf numFmtId="0" fontId="39" fillId="0" borderId="141" xfId="7" applyFont="1" applyFill="1" applyBorder="1" applyAlignment="1" applyProtection="1">
      <alignment horizontal="left" vertical="center" wrapText="1"/>
    </xf>
    <xf numFmtId="3" fontId="39" fillId="0" borderId="141" xfId="7" applyNumberFormat="1" applyFont="1" applyFill="1" applyBorder="1" applyAlignment="1" applyProtection="1">
      <alignment horizontal="right" vertical="center"/>
    </xf>
    <xf numFmtId="0" fontId="39" fillId="0" borderId="142" xfId="7" applyFont="1" applyFill="1" applyBorder="1" applyAlignment="1" applyProtection="1">
      <alignment horizontal="left" vertical="center"/>
    </xf>
    <xf numFmtId="0" fontId="39" fillId="0" borderId="143" xfId="7" applyFont="1" applyFill="1" applyBorder="1" applyAlignment="1" applyProtection="1">
      <alignment horizontal="left" vertical="center"/>
    </xf>
    <xf numFmtId="0" fontId="37" fillId="0" borderId="136" xfId="7" applyFont="1" applyFill="1" applyBorder="1" applyAlignment="1" applyProtection="1">
      <alignment horizontal="left" vertical="center"/>
    </xf>
    <xf numFmtId="0" fontId="37" fillId="0" borderId="137" xfId="7" applyFont="1" applyFill="1" applyBorder="1" applyAlignment="1" applyProtection="1">
      <alignment vertical="top"/>
    </xf>
    <xf numFmtId="0" fontId="37" fillId="0" borderId="137" xfId="7" applyFont="1" applyFill="1" applyBorder="1" applyAlignment="1" applyProtection="1">
      <alignment horizontal="left" vertical="center"/>
    </xf>
    <xf numFmtId="3" fontId="37" fillId="0" borderId="137" xfId="0" applyNumberFormat="1" applyFont="1" applyFill="1" applyBorder="1" applyAlignment="1" applyProtection="1">
      <alignment horizontal="right" vertical="center"/>
    </xf>
    <xf numFmtId="0" fontId="37" fillId="0" borderId="138" xfId="7" applyFont="1" applyFill="1" applyBorder="1" applyAlignment="1" applyProtection="1">
      <alignment horizontal="left" vertical="center"/>
    </xf>
    <xf numFmtId="0" fontId="37" fillId="0" borderId="139" xfId="7" applyFont="1" applyFill="1" applyBorder="1" applyAlignment="1" applyProtection="1">
      <alignment vertical="top"/>
    </xf>
    <xf numFmtId="0" fontId="37" fillId="0" borderId="139" xfId="7" applyFont="1" applyFill="1" applyBorder="1" applyAlignment="1" applyProtection="1">
      <alignment vertical="center"/>
    </xf>
    <xf numFmtId="3" fontId="21" fillId="0" borderId="72" xfId="0" applyNumberFormat="1" applyFont="1" applyFill="1" applyBorder="1" applyAlignment="1">
      <alignment horizontal="center" vertical="center" wrapText="1"/>
    </xf>
    <xf numFmtId="3" fontId="21" fillId="0" borderId="72" xfId="0" applyNumberFormat="1" applyFont="1" applyFill="1" applyBorder="1" applyAlignment="1">
      <alignment horizontal="center" vertical="center"/>
    </xf>
    <xf numFmtId="3" fontId="20" fillId="0" borderId="72" xfId="0" applyNumberFormat="1" applyFont="1" applyFill="1" applyBorder="1" applyAlignment="1">
      <alignment horizontal="center" vertical="center"/>
    </xf>
    <xf numFmtId="49" fontId="38" fillId="0" borderId="40" xfId="0" applyNumberFormat="1" applyFont="1" applyFill="1" applyBorder="1" applyAlignment="1" applyProtection="1">
      <alignment horizontal="center" vertical="center" wrapText="1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44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horizontal="left" vertical="center"/>
    </xf>
    <xf numFmtId="0" fontId="23" fillId="0" borderId="46" xfId="7" applyFont="1" applyFill="1" applyBorder="1" applyAlignment="1" applyProtection="1">
      <alignment horizontal="left" vertical="center"/>
    </xf>
    <xf numFmtId="0" fontId="23" fillId="0" borderId="47" xfId="7" applyFont="1" applyFill="1" applyBorder="1" applyAlignment="1" applyProtection="1">
      <alignment horizontal="left" vertical="center"/>
    </xf>
    <xf numFmtId="0" fontId="23" fillId="0" borderId="54" xfId="7" applyFont="1" applyFill="1" applyBorder="1" applyAlignment="1" applyProtection="1">
      <alignment horizontal="left" vertical="center"/>
    </xf>
    <xf numFmtId="0" fontId="24" fillId="7" borderId="50" xfId="7" applyFont="1" applyFill="1" applyBorder="1" applyAlignment="1" applyProtection="1">
      <alignment horizontal="center" vertical="center"/>
    </xf>
    <xf numFmtId="0" fontId="24" fillId="7" borderId="13" xfId="7" applyFont="1" applyFill="1" applyBorder="1" applyAlignment="1" applyProtection="1">
      <alignment horizontal="center" vertical="center"/>
    </xf>
    <xf numFmtId="0" fontId="24" fillId="7" borderId="0" xfId="7" applyFont="1" applyFill="1" applyBorder="1" applyAlignment="1" applyProtection="1">
      <alignment horizontal="center" vertical="center"/>
    </xf>
    <xf numFmtId="0" fontId="24" fillId="7" borderId="37" xfId="7" applyFont="1" applyFill="1" applyBorder="1" applyAlignment="1" applyProtection="1">
      <alignment horizontal="center" vertical="center"/>
    </xf>
    <xf numFmtId="0" fontId="24" fillId="7" borderId="56" xfId="7" applyFont="1" applyFill="1" applyBorder="1" applyAlignment="1" applyProtection="1">
      <alignment horizontal="center" vertical="center"/>
    </xf>
    <xf numFmtId="0" fontId="24" fillId="7" borderId="10" xfId="7" applyFont="1" applyFill="1" applyBorder="1" applyAlignment="1" applyProtection="1">
      <alignment horizontal="center" vertical="center"/>
    </xf>
    <xf numFmtId="0" fontId="21" fillId="0" borderId="10" xfId="7" applyFont="1" applyFill="1" applyBorder="1" applyAlignment="1" applyProtection="1">
      <alignment horizontal="center" vertical="center" wrapText="1"/>
    </xf>
    <xf numFmtId="49" fontId="21" fillId="0" borderId="11" xfId="7" applyNumberFormat="1" applyFont="1" applyFill="1" applyBorder="1" applyAlignment="1" applyProtection="1">
      <alignment horizontal="center" vertical="center" wrapText="1"/>
    </xf>
    <xf numFmtId="49" fontId="21" fillId="0" borderId="12" xfId="7" applyNumberFormat="1" applyFont="1" applyFill="1" applyBorder="1" applyAlignment="1" applyProtection="1">
      <alignment horizontal="center" vertical="center" wrapText="1"/>
    </xf>
    <xf numFmtId="49" fontId="21" fillId="0" borderId="13" xfId="7" applyNumberFormat="1" applyFont="1" applyFill="1" applyBorder="1" applyAlignment="1" applyProtection="1">
      <alignment horizontal="center" vertical="center" wrapText="1"/>
    </xf>
    <xf numFmtId="49" fontId="23" fillId="0" borderId="14" xfId="7" applyNumberFormat="1" applyFont="1" applyFill="1" applyBorder="1" applyAlignment="1" applyProtection="1">
      <alignment horizontal="center" vertical="center"/>
    </xf>
    <xf numFmtId="49" fontId="23" fillId="0" borderId="15" xfId="7" applyNumberFormat="1" applyFont="1" applyFill="1" applyBorder="1" applyAlignment="1" applyProtection="1">
      <alignment horizontal="center" vertical="center"/>
    </xf>
    <xf numFmtId="49" fontId="23" fillId="0" borderId="16" xfId="7" applyNumberFormat="1" applyFont="1" applyFill="1" applyBorder="1" applyAlignment="1" applyProtection="1">
      <alignment horizontal="center" vertical="center"/>
    </xf>
    <xf numFmtId="49" fontId="23" fillId="0" borderId="21" xfId="7" applyNumberFormat="1" applyFont="1" applyFill="1" applyBorder="1" applyAlignment="1" applyProtection="1">
      <alignment horizontal="center" vertical="center"/>
    </xf>
    <xf numFmtId="49" fontId="23" fillId="0" borderId="22" xfId="7" applyNumberFormat="1" applyFont="1" applyFill="1" applyBorder="1" applyAlignment="1" applyProtection="1">
      <alignment horizontal="center" vertical="center"/>
    </xf>
    <xf numFmtId="49" fontId="23" fillId="0" borderId="23" xfId="7" applyNumberFormat="1" applyFont="1" applyFill="1" applyBorder="1" applyAlignment="1" applyProtection="1">
      <alignment horizontal="center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27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49" fontId="37" fillId="0" borderId="56" xfId="7" applyNumberFormat="1" applyFont="1" applyFill="1" applyBorder="1" applyAlignment="1" applyProtection="1">
      <alignment horizontal="center" vertical="center" wrapText="1"/>
    </xf>
    <xf numFmtId="49" fontId="37" fillId="0" borderId="10" xfId="7" applyNumberFormat="1" applyFont="1" applyFill="1" applyBorder="1" applyAlignment="1" applyProtection="1">
      <alignment horizontal="center" vertical="center" wrapText="1"/>
    </xf>
    <xf numFmtId="49" fontId="37" fillId="0" borderId="57" xfId="7" applyNumberFormat="1" applyFont="1" applyFill="1" applyBorder="1" applyAlignment="1" applyProtection="1">
      <alignment horizontal="center" vertical="center" wrapText="1"/>
    </xf>
    <xf numFmtId="0" fontId="37" fillId="0" borderId="50" xfId="7" applyFont="1" applyFill="1" applyBorder="1" applyAlignment="1" applyProtection="1">
      <alignment horizontal="center" vertical="center" wrapText="1"/>
    </xf>
    <xf numFmtId="0" fontId="37" fillId="0" borderId="13" xfId="7" applyFont="1" applyFill="1" applyBorder="1" applyAlignment="1" applyProtection="1">
      <alignment horizontal="center" vertical="center" wrapText="1"/>
    </xf>
    <xf numFmtId="0" fontId="37" fillId="0" borderId="51" xfId="7" applyFont="1" applyFill="1" applyBorder="1" applyAlignment="1" applyProtection="1">
      <alignment horizontal="center" vertical="center" wrapText="1"/>
    </xf>
    <xf numFmtId="49" fontId="38" fillId="0" borderId="14" xfId="7" applyNumberFormat="1" applyFont="1" applyFill="1" applyBorder="1" applyAlignment="1" applyProtection="1">
      <alignment horizontal="center" vertical="center"/>
    </xf>
    <xf numFmtId="49" fontId="38" fillId="0" borderId="15" xfId="7" applyNumberFormat="1" applyFont="1" applyFill="1" applyBorder="1" applyAlignment="1" applyProtection="1">
      <alignment horizontal="center" vertical="center"/>
    </xf>
    <xf numFmtId="49" fontId="38" fillId="0" borderId="91" xfId="7" applyNumberFormat="1" applyFont="1" applyFill="1" applyBorder="1" applyAlignment="1" applyProtection="1">
      <alignment horizontal="center" vertical="center"/>
    </xf>
    <xf numFmtId="49" fontId="38" fillId="0" borderId="22" xfId="7" applyNumberFormat="1" applyFont="1" applyFill="1" applyBorder="1" applyAlignment="1" applyProtection="1">
      <alignment horizontal="center" vertical="center"/>
    </xf>
    <xf numFmtId="0" fontId="37" fillId="0" borderId="52" xfId="7" applyFont="1" applyFill="1" applyBorder="1" applyAlignment="1" applyProtection="1">
      <alignment horizontal="left" vertical="center"/>
    </xf>
    <xf numFmtId="0" fontId="37" fillId="0" borderId="44" xfId="7" applyFont="1" applyFill="1" applyBorder="1" applyAlignment="1" applyProtection="1">
      <alignment horizontal="left" vertical="center"/>
    </xf>
    <xf numFmtId="0" fontId="37" fillId="0" borderId="46" xfId="7" applyFont="1" applyFill="1" applyBorder="1" applyAlignment="1" applyProtection="1">
      <alignment horizontal="left" vertical="center"/>
    </xf>
    <xf numFmtId="0" fontId="37" fillId="0" borderId="47" xfId="7" applyFont="1" applyFill="1" applyBorder="1" applyAlignment="1" applyProtection="1">
      <alignment horizontal="left" vertical="center"/>
    </xf>
    <xf numFmtId="0" fontId="39" fillId="7" borderId="50" xfId="7" applyFont="1" applyFill="1" applyBorder="1" applyAlignment="1" applyProtection="1">
      <alignment horizontal="center" vertical="center"/>
    </xf>
    <xf numFmtId="0" fontId="39" fillId="7" borderId="13" xfId="7" applyFont="1" applyFill="1" applyBorder="1" applyAlignment="1" applyProtection="1">
      <alignment horizontal="center" vertical="center"/>
    </xf>
    <xf numFmtId="0" fontId="39" fillId="7" borderId="37" xfId="7" applyFont="1" applyFill="1" applyBorder="1" applyAlignment="1" applyProtection="1">
      <alignment horizontal="center" vertical="center"/>
    </xf>
    <xf numFmtId="0" fontId="39" fillId="7" borderId="0" xfId="7" applyFont="1" applyFill="1" applyBorder="1" applyAlignment="1" applyProtection="1">
      <alignment horizontal="center" vertical="center"/>
    </xf>
    <xf numFmtId="49" fontId="37" fillId="0" borderId="37" xfId="7" applyNumberFormat="1" applyFont="1" applyFill="1" applyBorder="1" applyAlignment="1" applyProtection="1">
      <alignment horizontal="center" vertical="center" wrapText="1"/>
    </xf>
    <xf numFmtId="49" fontId="37" fillId="0" borderId="0" xfId="7" applyNumberFormat="1" applyFont="1" applyFill="1" applyBorder="1" applyAlignment="1" applyProtection="1">
      <alignment horizontal="center" vertical="center" wrapText="1"/>
    </xf>
    <xf numFmtId="49" fontId="37" fillId="0" borderId="50" xfId="7" applyNumberFormat="1" applyFont="1" applyFill="1" applyBorder="1" applyAlignment="1" applyProtection="1">
      <alignment horizontal="center" vertical="center" wrapText="1"/>
    </xf>
    <xf numFmtId="49" fontId="37" fillId="0" borderId="13" xfId="7" applyNumberFormat="1" applyFont="1" applyFill="1" applyBorder="1" applyAlignment="1" applyProtection="1">
      <alignment horizontal="center" vertical="center" wrapText="1"/>
    </xf>
    <xf numFmtId="0" fontId="39" fillId="0" borderId="25" xfId="7" applyFont="1" applyFill="1" applyBorder="1" applyAlignment="1" applyProtection="1">
      <alignment horizontal="left" vertical="center"/>
    </xf>
    <xf numFmtId="0" fontId="39" fillId="0" borderId="26" xfId="7" applyFont="1" applyFill="1" applyBorder="1" applyAlignment="1" applyProtection="1">
      <alignment horizontal="left" vertical="center"/>
    </xf>
    <xf numFmtId="0" fontId="39" fillId="0" borderId="33" xfId="7" applyFont="1" applyFill="1" applyBorder="1" applyAlignment="1" applyProtection="1">
      <alignment horizontal="left" vertical="center"/>
    </xf>
    <xf numFmtId="0" fontId="39" fillId="0" borderId="1" xfId="7" applyFont="1" applyFill="1" applyBorder="1" applyAlignment="1" applyProtection="1">
      <alignment horizontal="left" vertical="center"/>
    </xf>
    <xf numFmtId="49" fontId="38" fillId="0" borderId="39" xfId="7" applyNumberFormat="1" applyFont="1" applyFill="1" applyBorder="1" applyAlignment="1" applyProtection="1">
      <alignment horizontal="center" vertical="center"/>
    </xf>
    <xf numFmtId="49" fontId="38" fillId="0" borderId="40" xfId="7" applyNumberFormat="1" applyFont="1" applyFill="1" applyBorder="1" applyAlignment="1" applyProtection="1">
      <alignment horizontal="center" vertical="center"/>
    </xf>
    <xf numFmtId="49" fontId="38" fillId="0" borderId="144" xfId="7" applyNumberFormat="1" applyFont="1" applyFill="1" applyBorder="1" applyAlignment="1" applyProtection="1">
      <alignment horizontal="center" vertical="center"/>
    </xf>
    <xf numFmtId="49" fontId="38" fillId="0" borderId="7" xfId="7" applyNumberFormat="1" applyFont="1" applyFill="1" applyBorder="1" applyAlignment="1" applyProtection="1">
      <alignment horizontal="center" vertical="center"/>
    </xf>
    <xf numFmtId="0" fontId="38" fillId="0" borderId="92" xfId="7" applyFont="1" applyFill="1" applyBorder="1" applyAlignment="1" applyProtection="1">
      <alignment horizontal="left" vertical="center"/>
    </xf>
    <xf numFmtId="0" fontId="38" fillId="0" borderId="5" xfId="7" applyFont="1" applyFill="1" applyBorder="1" applyAlignment="1" applyProtection="1">
      <alignment horizontal="left" vertical="center"/>
    </xf>
    <xf numFmtId="0" fontId="38" fillId="0" borderId="6" xfId="7" applyFont="1" applyFill="1" applyBorder="1" applyAlignment="1" applyProtection="1">
      <alignment horizontal="left" vertical="center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8" fillId="0" borderId="63" xfId="7" applyNumberFormat="1" applyFont="1" applyFill="1" applyBorder="1" applyAlignment="1" applyProtection="1">
      <alignment horizontal="center" vertical="center" wrapText="1"/>
    </xf>
    <xf numFmtId="166" fontId="21" fillId="0" borderId="60" xfId="0" applyNumberFormat="1" applyFont="1" applyFill="1" applyBorder="1" applyAlignment="1" applyProtection="1">
      <alignment horizontal="center" vertical="center" textRotation="90"/>
    </xf>
    <xf numFmtId="166" fontId="21" fillId="0" borderId="66" xfId="0" applyNumberFormat="1" applyFont="1" applyFill="1" applyBorder="1" applyAlignment="1" applyProtection="1">
      <alignment horizontal="center" vertical="center" textRotation="90"/>
    </xf>
    <xf numFmtId="38" fontId="21" fillId="8" borderId="61" xfId="0" applyNumberFormat="1" applyFont="1" applyFill="1" applyBorder="1" applyAlignment="1" applyProtection="1">
      <alignment horizontal="center" vertical="center" wrapText="1"/>
    </xf>
    <xf numFmtId="38" fontId="21" fillId="8" borderId="62" xfId="0" applyNumberFormat="1" applyFont="1" applyFill="1" applyBorder="1" applyAlignment="1" applyProtection="1">
      <alignment horizontal="center" vertical="center" wrapText="1"/>
    </xf>
    <xf numFmtId="38" fontId="21" fillId="8" borderId="63" xfId="0" applyNumberFormat="1" applyFont="1" applyFill="1" applyBorder="1" applyAlignment="1" applyProtection="1">
      <alignment horizontal="center" vertical="center" wrapText="1"/>
    </xf>
    <xf numFmtId="38" fontId="21" fillId="0" borderId="87" xfId="0" applyNumberFormat="1" applyFont="1" applyFill="1" applyBorder="1" applyAlignment="1" applyProtection="1">
      <alignment horizontal="center" vertical="center" textRotation="90"/>
    </xf>
    <xf numFmtId="38" fontId="21" fillId="0" borderId="72" xfId="0" applyNumberFormat="1" applyFont="1" applyFill="1" applyBorder="1" applyAlignment="1" applyProtection="1">
      <alignment horizontal="center" vertical="center" textRotation="90"/>
    </xf>
    <xf numFmtId="166" fontId="28" fillId="0" borderId="88" xfId="0" applyNumberFormat="1" applyFont="1" applyFill="1" applyBorder="1" applyAlignment="1" applyProtection="1">
      <alignment horizontal="center" vertical="center" wrapText="1"/>
    </xf>
    <xf numFmtId="166" fontId="28" fillId="0" borderId="62" xfId="0" applyNumberFormat="1" applyFont="1" applyFill="1" applyBorder="1" applyAlignment="1" applyProtection="1">
      <alignment horizontal="center" vertical="center" wrapText="1"/>
    </xf>
    <xf numFmtId="38" fontId="15" fillId="0" borderId="9" xfId="3" applyNumberFormat="1" applyFont="1" applyBorder="1" applyAlignment="1">
      <alignment horizontal="center"/>
    </xf>
    <xf numFmtId="1" fontId="9" fillId="2" borderId="3" xfId="1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9" fillId="0" borderId="0" xfId="1" applyFont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" fontId="9" fillId="2" borderId="3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" fontId="9" fillId="2" borderId="4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3" fontId="21" fillId="0" borderId="72" xfId="0" applyNumberFormat="1" applyFont="1" applyFill="1" applyBorder="1" applyAlignment="1">
      <alignment horizontal="center" vertical="center"/>
    </xf>
    <xf numFmtId="0" fontId="20" fillId="0" borderId="72" xfId="0" applyFont="1" applyFill="1" applyBorder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49" fontId="37" fillId="0" borderId="78" xfId="0" applyNumberFormat="1" applyFont="1" applyFill="1" applyBorder="1" applyAlignment="1">
      <alignment horizontal="center" vertical="center" wrapText="1"/>
    </xf>
    <xf numFmtId="0" fontId="37" fillId="0" borderId="72" xfId="0" applyFont="1" applyFill="1" applyBorder="1" applyAlignment="1">
      <alignment horizontal="center" vertical="center" shrinkToFit="1"/>
    </xf>
    <xf numFmtId="0" fontId="41" fillId="0" borderId="64" xfId="0" applyFont="1" applyBorder="1" applyAlignment="1">
      <alignment horizontal="center" vertical="center" wrapText="1"/>
    </xf>
    <xf numFmtId="0" fontId="0" fillId="0" borderId="87" xfId="0" applyBorder="1" applyAlignment="1">
      <alignment horizontal="center"/>
    </xf>
    <xf numFmtId="0" fontId="0" fillId="0" borderId="60" xfId="0" applyBorder="1" applyAlignment="1">
      <alignment horizontal="center"/>
    </xf>
    <xf numFmtId="0" fontId="54" fillId="0" borderId="0" xfId="0" applyFont="1" applyAlignment="1">
      <alignment horizontal="center" vertical="top" wrapText="1"/>
    </xf>
    <xf numFmtId="0" fontId="41" fillId="0" borderId="72" xfId="0" applyFont="1" applyFill="1" applyBorder="1" applyAlignment="1">
      <alignment horizontal="center" vertical="center" wrapText="1"/>
    </xf>
    <xf numFmtId="165" fontId="41" fillId="0" borderId="72" xfId="4" applyNumberFormat="1" applyFont="1" applyFill="1" applyBorder="1" applyAlignment="1">
      <alignment horizontal="center"/>
    </xf>
  </cellXfs>
  <cellStyles count="22">
    <cellStyle name="Ezres" xfId="5" builtinId="3"/>
    <cellStyle name="Ezres 2" xfId="2"/>
    <cellStyle name="Ezres 2 2" xfId="10"/>
    <cellStyle name="Ezres 3" xfId="4"/>
    <cellStyle name="Ezres 4" xfId="11"/>
    <cellStyle name="Ezres 4 2" xfId="12"/>
    <cellStyle name="Ezres 5" xfId="13"/>
    <cellStyle name="költségvetési tábla" xfId="9"/>
    <cellStyle name="Normál" xfId="0" builtinId="0"/>
    <cellStyle name="Normál 2" xfId="1"/>
    <cellStyle name="Normál 2 2" xfId="14"/>
    <cellStyle name="Normál 3" xfId="3"/>
    <cellStyle name="Normál 3 2" xfId="7"/>
    <cellStyle name="Normál 4" xfId="15"/>
    <cellStyle name="Normál 6" xfId="8"/>
    <cellStyle name="Normál 6 2" xfId="16"/>
    <cellStyle name="számérték" xfId="17"/>
    <cellStyle name="Százalék" xfId="6" builtinId="5"/>
    <cellStyle name="Százalék 2" xfId="18"/>
    <cellStyle name="Százalék 2 2" xfId="19"/>
    <cellStyle name="Százalék 3" xfId="20"/>
    <cellStyle name="TableStyleLight1" xfId="21"/>
  </cellStyles>
  <dxfs count="6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5%20&#233;v\Els&#337;%20f&#233;l&#233;v\20150226\Koltsegvetes%202015\Ktgv_M1_T&#225;bl&#225;k%202014%2001%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El&#337;terjeszt&#233;sek\&#214;nkorm&#225;nyzat%20el&#337;terjeszt&#233;sei\2015%20&#233;v\Els&#337;%20f&#233;l&#233;v\20150226\Koltsegvetes%202015\V&#233;gleges%20anyagok\Ktgv_2015_2015_02_25_ja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2016%20&#233;vi%20k&#246;lts&#233;gvet&#233;s\Ktgv_2015_elso_olvasat_2015_10_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6%20&#233;v\Els&#337;%20f&#233;l&#233;v\20160218\K&#246;lts&#233;gvet&#233;s%202016\Ktgv_M1_T&#225;bl&#225;k%202014%2001%20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losin.katalin\Documents\el&#337;terjeszt&#233;sek\2021\2022%20&#233;vi%20k&#246;lts&#233;gvet&#233;s\kik&#252;ld&#246;tt%20anyag\2022_&#233;vi_ktv_rendelet_mell&#233;kletei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&#233;vi%20el&#337;terjeszt&#233;s%202022%20ktv\01.%20KT%202022_&#233;vi_ktv_rendelet_MELL&#201;KLETEK_m&#243;dos&#237;t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A143">
            <v>0</v>
          </cell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A154">
            <v>0</v>
          </cell>
          <cell r="B154" t="str">
            <v>Felhalmozási kiadások összesen</v>
          </cell>
        </row>
        <row r="155">
          <cell r="A155">
            <v>0</v>
          </cell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A159">
            <v>0</v>
          </cell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A161">
            <v>0</v>
          </cell>
          <cell r="B161" t="str">
            <v>1.1. Készletértékesítés bevétele</v>
          </cell>
        </row>
        <row r="162">
          <cell r="A162">
            <v>0</v>
          </cell>
          <cell r="B162" t="str">
            <v>1.2. Szolgáltatások ellenértéke</v>
          </cell>
        </row>
        <row r="163">
          <cell r="A163">
            <v>0</v>
          </cell>
          <cell r="B163" t="str">
            <v>1.3. Tulajdonosi bevételek</v>
          </cell>
        </row>
        <row r="164">
          <cell r="A164">
            <v>0</v>
          </cell>
          <cell r="B164" t="str">
            <v>Egyéb bérleti díj</v>
          </cell>
        </row>
        <row r="165">
          <cell r="A165">
            <v>0</v>
          </cell>
          <cell r="B165" t="str">
            <v>1.4. Ellátási díjak</v>
          </cell>
        </row>
        <row r="166">
          <cell r="A166">
            <v>0</v>
          </cell>
          <cell r="B166" t="str">
            <v>1.5. Kiszámlázott általános forgalmi adó</v>
          </cell>
        </row>
        <row r="167">
          <cell r="A167">
            <v>0</v>
          </cell>
          <cell r="B167" t="str">
            <v>1.6. Általános forgalmi adó visszatérítése</v>
          </cell>
        </row>
        <row r="168">
          <cell r="A168">
            <v>0</v>
          </cell>
          <cell r="B168" t="str">
            <v>1.7. Kamatbevételek</v>
          </cell>
        </row>
        <row r="169">
          <cell r="A169">
            <v>0</v>
          </cell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A171">
            <v>0</v>
          </cell>
          <cell r="B171" t="str">
            <v>3.1. Egyéb működési célú átvett pénzeszközök</v>
          </cell>
        </row>
      </sheetData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2016. évi előirányzat</v>
          </cell>
          <cell r="E1" t="str">
            <v>Óvodai étkeztetés 2015.</v>
          </cell>
          <cell r="F1" t="str">
            <v>Óvodai étkeztetés 2016.</v>
          </cell>
          <cell r="G1" t="str">
            <v>Óvodai nevelés 2015.</v>
          </cell>
          <cell r="H1" t="str">
            <v>Óvodai nevelés 2016.</v>
          </cell>
          <cell r="I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B161" t="str">
            <v>1.1. Készletértékesítés bevétele</v>
          </cell>
        </row>
        <row r="162">
          <cell r="B162" t="str">
            <v>1.2. Szolgáltatások ellenértéke</v>
          </cell>
        </row>
        <row r="163">
          <cell r="B163" t="str">
            <v>1.3. Tulajdonosi bevételek</v>
          </cell>
        </row>
        <row r="164">
          <cell r="B164" t="str">
            <v>Egyéb bérleti díj</v>
          </cell>
        </row>
        <row r="165">
          <cell r="B165" t="str">
            <v>1.4. Ellátási díjak</v>
          </cell>
        </row>
        <row r="166">
          <cell r="B166" t="str">
            <v>1.5. Kiszámlázott általános forgalmi adó</v>
          </cell>
        </row>
        <row r="167">
          <cell r="B167" t="str">
            <v>1.6. Általános forgalmi adó visszatérítése</v>
          </cell>
        </row>
        <row r="168">
          <cell r="B168" t="str">
            <v>1.7. Kamatbevételek</v>
          </cell>
        </row>
        <row r="169"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B171" t="str">
            <v>3.1. Egyéb működési célú átvett pénzeszközök</v>
          </cell>
        </row>
      </sheetData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13">
          <cell r="K313">
            <v>0</v>
          </cell>
        </row>
        <row r="315">
          <cell r="K31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07">
          <cell r="H307">
            <v>484267.5</v>
          </cell>
          <cell r="I307">
            <v>441471</v>
          </cell>
        </row>
      </sheetData>
      <sheetData sheetId="2">
        <row r="22">
          <cell r="J22">
            <v>45239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9"/>
  <sheetViews>
    <sheetView zoomScale="120" zoomScaleNormal="120" workbookViewId="0">
      <selection activeCell="E30" sqref="E30"/>
    </sheetView>
  </sheetViews>
  <sheetFormatPr defaultRowHeight="15" x14ac:dyDescent="0.25"/>
  <cols>
    <col min="1" max="1" width="5.5703125" customWidth="1"/>
    <col min="2" max="2" width="50.7109375" bestFit="1" customWidth="1"/>
    <col min="3" max="3" width="19.5703125" customWidth="1"/>
    <col min="4" max="4" width="17.28515625" customWidth="1"/>
  </cols>
  <sheetData>
    <row r="1" spans="1:4" x14ac:dyDescent="0.25">
      <c r="A1" t="s">
        <v>744</v>
      </c>
    </row>
    <row r="2" spans="1:4" x14ac:dyDescent="0.25">
      <c r="A2" s="645"/>
      <c r="B2" s="645" t="s">
        <v>744</v>
      </c>
      <c r="C2" s="645"/>
      <c r="D2" t="s">
        <v>1511</v>
      </c>
    </row>
    <row r="3" spans="1:4" x14ac:dyDescent="0.25">
      <c r="A3" s="804" t="s">
        <v>745</v>
      </c>
      <c r="B3" s="804" t="s">
        <v>1088</v>
      </c>
      <c r="C3" s="645"/>
    </row>
    <row r="4" spans="1:4" x14ac:dyDescent="0.25">
      <c r="A4" s="645"/>
      <c r="B4" s="645" t="s">
        <v>746</v>
      </c>
      <c r="C4" s="646">
        <v>16000</v>
      </c>
    </row>
    <row r="5" spans="1:4" x14ac:dyDescent="0.25">
      <c r="A5" s="645"/>
      <c r="B5" s="645" t="s">
        <v>768</v>
      </c>
      <c r="C5" s="648">
        <v>20000</v>
      </c>
    </row>
    <row r="6" spans="1:4" x14ac:dyDescent="0.25">
      <c r="A6" s="645"/>
      <c r="B6" s="645" t="s">
        <v>769</v>
      </c>
      <c r="C6" s="648">
        <v>30000</v>
      </c>
    </row>
    <row r="7" spans="1:4" x14ac:dyDescent="0.25">
      <c r="A7" s="645"/>
      <c r="B7" s="645" t="s">
        <v>747</v>
      </c>
      <c r="C7" s="646">
        <v>20000</v>
      </c>
    </row>
    <row r="8" spans="1:4" x14ac:dyDescent="0.25">
      <c r="A8" s="645"/>
      <c r="B8" s="645" t="s">
        <v>748</v>
      </c>
      <c r="C8" s="646">
        <v>2000</v>
      </c>
    </row>
    <row r="9" spans="1:4" x14ac:dyDescent="0.25">
      <c r="A9" s="645"/>
      <c r="B9" s="645" t="s">
        <v>749</v>
      </c>
      <c r="C9" s="646">
        <v>4725</v>
      </c>
    </row>
    <row r="10" spans="1:4" s="649" customFormat="1" x14ac:dyDescent="0.25">
      <c r="A10" s="647"/>
      <c r="B10" s="647" t="s">
        <v>750</v>
      </c>
      <c r="C10" s="648">
        <v>5000</v>
      </c>
    </row>
    <row r="11" spans="1:4" x14ac:dyDescent="0.25">
      <c r="A11" s="645"/>
      <c r="B11" s="650" t="s">
        <v>751</v>
      </c>
      <c r="C11" s="651">
        <f>SUM(C4:C10)</f>
        <v>97725</v>
      </c>
    </row>
    <row r="12" spans="1:4" x14ac:dyDescent="0.25">
      <c r="A12" s="645"/>
      <c r="B12" s="650"/>
      <c r="C12" s="651"/>
    </row>
    <row r="13" spans="1:4" x14ac:dyDescent="0.25">
      <c r="A13" s="804" t="s">
        <v>1086</v>
      </c>
      <c r="B13" s="803" t="s">
        <v>1087</v>
      </c>
      <c r="C13" s="651">
        <v>4500</v>
      </c>
    </row>
    <row r="14" spans="1:4" x14ac:dyDescent="0.25">
      <c r="A14" s="645"/>
      <c r="B14" s="650"/>
      <c r="C14" s="651"/>
    </row>
    <row r="15" spans="1:4" x14ac:dyDescent="0.25">
      <c r="A15" s="804" t="s">
        <v>752</v>
      </c>
      <c r="B15" s="804" t="s">
        <v>1090</v>
      </c>
      <c r="C15" s="646"/>
    </row>
    <row r="16" spans="1:4" x14ac:dyDescent="0.25">
      <c r="A16" s="645"/>
      <c r="B16" s="645" t="s">
        <v>753</v>
      </c>
      <c r="C16" s="648">
        <v>40000</v>
      </c>
    </row>
    <row r="17" spans="1:5" ht="30" x14ac:dyDescent="0.25">
      <c r="A17" s="645"/>
      <c r="B17" s="801" t="s">
        <v>1079</v>
      </c>
      <c r="C17" s="802">
        <v>3770</v>
      </c>
    </row>
    <row r="18" spans="1:5" x14ac:dyDescent="0.25">
      <c r="A18" s="645"/>
      <c r="B18" s="645" t="s">
        <v>754</v>
      </c>
      <c r="C18" s="648">
        <v>500</v>
      </c>
    </row>
    <row r="19" spans="1:5" x14ac:dyDescent="0.25">
      <c r="A19" s="645"/>
      <c r="B19" s="645" t="s">
        <v>755</v>
      </c>
      <c r="C19" s="806">
        <v>56000</v>
      </c>
    </row>
    <row r="20" spans="1:5" x14ac:dyDescent="0.25">
      <c r="A20" s="645"/>
      <c r="B20" s="645" t="s">
        <v>756</v>
      </c>
      <c r="C20" s="648">
        <v>3000</v>
      </c>
    </row>
    <row r="21" spans="1:5" x14ac:dyDescent="0.25">
      <c r="A21" s="645"/>
      <c r="B21" s="645" t="s">
        <v>757</v>
      </c>
      <c r="C21" s="648">
        <v>264574</v>
      </c>
    </row>
    <row r="22" spans="1:5" x14ac:dyDescent="0.25">
      <c r="A22" s="645"/>
      <c r="B22" s="645" t="s">
        <v>1093</v>
      </c>
      <c r="C22" s="648">
        <v>50638</v>
      </c>
    </row>
    <row r="23" spans="1:5" x14ac:dyDescent="0.25">
      <c r="A23" s="645"/>
      <c r="B23" s="645" t="s">
        <v>1094</v>
      </c>
      <c r="C23" s="648">
        <v>294000</v>
      </c>
    </row>
    <row r="24" spans="1:5" x14ac:dyDescent="0.25">
      <c r="A24" s="645"/>
      <c r="B24" s="645" t="s">
        <v>1091</v>
      </c>
      <c r="C24" s="648">
        <v>5000</v>
      </c>
    </row>
    <row r="25" spans="1:5" x14ac:dyDescent="0.25">
      <c r="A25" s="645"/>
      <c r="B25" s="645" t="s">
        <v>758</v>
      </c>
      <c r="C25" s="648">
        <v>5100</v>
      </c>
    </row>
    <row r="26" spans="1:5" x14ac:dyDescent="0.25">
      <c r="A26" s="645"/>
      <c r="B26" s="645" t="s">
        <v>759</v>
      </c>
      <c r="C26" s="648">
        <v>10000</v>
      </c>
    </row>
    <row r="27" spans="1:5" x14ac:dyDescent="0.25">
      <c r="A27" s="645"/>
      <c r="B27" s="645" t="s">
        <v>762</v>
      </c>
      <c r="C27" s="648">
        <v>5000</v>
      </c>
    </row>
    <row r="28" spans="1:5" x14ac:dyDescent="0.25">
      <c r="A28" s="645"/>
      <c r="B28" s="645" t="s">
        <v>763</v>
      </c>
      <c r="C28" s="648">
        <f>10000+1500</f>
        <v>11500</v>
      </c>
      <c r="D28">
        <v>2431</v>
      </c>
      <c r="E28" s="655"/>
    </row>
    <row r="29" spans="1:5" hidden="1" x14ac:dyDescent="0.25">
      <c r="A29" s="645"/>
      <c r="B29" s="645" t="s">
        <v>764</v>
      </c>
      <c r="C29" s="648">
        <f>-4000+4000</f>
        <v>0</v>
      </c>
    </row>
    <row r="30" spans="1:5" x14ac:dyDescent="0.25">
      <c r="A30" s="645"/>
      <c r="B30" s="645" t="s">
        <v>765</v>
      </c>
      <c r="C30" s="648">
        <v>1775</v>
      </c>
    </row>
    <row r="31" spans="1:5" x14ac:dyDescent="0.25">
      <c r="A31" s="645"/>
      <c r="B31" s="645" t="s">
        <v>766</v>
      </c>
      <c r="C31" s="648">
        <f>-15000+30000</f>
        <v>15000</v>
      </c>
    </row>
    <row r="32" spans="1:5" x14ac:dyDescent="0.25">
      <c r="A32" s="645"/>
      <c r="B32" s="645" t="s">
        <v>767</v>
      </c>
      <c r="C32" s="648">
        <v>1000</v>
      </c>
    </row>
    <row r="33" spans="1:3" x14ac:dyDescent="0.25">
      <c r="A33" s="645"/>
      <c r="B33" s="645" t="s">
        <v>770</v>
      </c>
      <c r="C33" s="648">
        <v>2000</v>
      </c>
    </row>
    <row r="34" spans="1:3" x14ac:dyDescent="0.25">
      <c r="A34" s="645"/>
      <c r="B34" s="645" t="s">
        <v>771</v>
      </c>
      <c r="C34" s="648">
        <v>20000</v>
      </c>
    </row>
    <row r="35" spans="1:3" x14ac:dyDescent="0.25">
      <c r="A35" s="645"/>
      <c r="B35" s="645" t="s">
        <v>772</v>
      </c>
      <c r="C35" s="648">
        <f>-1000+4000</f>
        <v>3000</v>
      </c>
    </row>
    <row r="36" spans="1:3" x14ac:dyDescent="0.25">
      <c r="A36" s="645"/>
      <c r="B36" s="645" t="s">
        <v>773</v>
      </c>
      <c r="C36" s="648">
        <v>10000</v>
      </c>
    </row>
    <row r="37" spans="1:3" x14ac:dyDescent="0.25">
      <c r="A37" s="645"/>
      <c r="B37" s="645" t="s">
        <v>774</v>
      </c>
      <c r="C37" s="648">
        <v>4000</v>
      </c>
    </row>
    <row r="38" spans="1:3" x14ac:dyDescent="0.25">
      <c r="A38" s="645"/>
      <c r="B38" s="645" t="s">
        <v>1089</v>
      </c>
      <c r="C38" s="648">
        <v>5000</v>
      </c>
    </row>
    <row r="39" spans="1:3" x14ac:dyDescent="0.25">
      <c r="A39" s="645"/>
      <c r="B39" s="645" t="s">
        <v>775</v>
      </c>
      <c r="C39" s="648">
        <f>-30000+50000</f>
        <v>20000</v>
      </c>
    </row>
    <row r="40" spans="1:3" hidden="1" x14ac:dyDescent="0.25">
      <c r="A40" s="645"/>
      <c r="B40" s="652" t="s">
        <v>776</v>
      </c>
      <c r="C40" s="653"/>
    </row>
    <row r="41" spans="1:3" hidden="1" x14ac:dyDescent="0.25">
      <c r="A41" s="645"/>
      <c r="B41" s="652" t="s">
        <v>777</v>
      </c>
      <c r="C41" s="653"/>
    </row>
    <row r="42" spans="1:3" x14ac:dyDescent="0.25">
      <c r="A42" s="645"/>
      <c r="B42" s="650" t="s">
        <v>751</v>
      </c>
      <c r="C42" s="654">
        <f>SUM(C16:C41)</f>
        <v>830857</v>
      </c>
    </row>
    <row r="43" spans="1:3" x14ac:dyDescent="0.25">
      <c r="A43" s="645" t="s">
        <v>1092</v>
      </c>
      <c r="B43" s="645"/>
      <c r="C43" s="648"/>
    </row>
    <row r="44" spans="1:3" x14ac:dyDescent="0.25">
      <c r="A44" s="645"/>
      <c r="B44" s="645" t="s">
        <v>760</v>
      </c>
      <c r="C44" s="648">
        <v>4791</v>
      </c>
    </row>
    <row r="45" spans="1:3" x14ac:dyDescent="0.25">
      <c r="A45" s="645"/>
      <c r="B45" s="645" t="s">
        <v>761</v>
      </c>
      <c r="C45" s="648">
        <f>-15000+30000</f>
        <v>15000</v>
      </c>
    </row>
    <row r="46" spans="1:3" x14ac:dyDescent="0.25">
      <c r="A46" s="645"/>
      <c r="B46" s="650" t="s">
        <v>751</v>
      </c>
      <c r="C46" s="805">
        <f>SUM(C44:C45)</f>
        <v>19791</v>
      </c>
    </row>
    <row r="47" spans="1:3" x14ac:dyDescent="0.25">
      <c r="A47" s="645"/>
      <c r="B47" s="645"/>
      <c r="C47" s="648"/>
    </row>
    <row r="49" spans="3:3" x14ac:dyDescent="0.25">
      <c r="C49" s="655">
        <f>+C42+C11+C13+C46</f>
        <v>952873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view="pageBreakPreview" zoomScale="110" zoomScaleNormal="110" zoomScaleSheetLayoutView="110" zoomScalePageLayoutView="160" workbookViewId="0">
      <selection activeCell="A3" sqref="A3:C3"/>
    </sheetView>
  </sheetViews>
  <sheetFormatPr defaultColWidth="9.140625" defaultRowHeight="12.75" x14ac:dyDescent="0.2"/>
  <cols>
    <col min="1" max="1" width="2.42578125" style="67" customWidth="1"/>
    <col min="2" max="2" width="4.140625" style="67" customWidth="1"/>
    <col min="3" max="3" width="28.42578125" style="67" customWidth="1"/>
    <col min="4" max="4" width="10.5703125" style="67" customWidth="1"/>
    <col min="5" max="5" width="10.28515625" style="67" customWidth="1"/>
    <col min="6" max="6" width="10.140625" style="67" customWidth="1"/>
    <col min="7" max="7" width="9.5703125" style="67" customWidth="1"/>
    <col min="8" max="8" width="10.140625" style="67" customWidth="1"/>
    <col min="9" max="9" width="3.5703125" style="67" customWidth="1"/>
    <col min="10" max="10" width="5" style="67" customWidth="1"/>
    <col min="11" max="11" width="24" style="67" customWidth="1"/>
    <col min="12" max="12" width="8.7109375" style="67" customWidth="1"/>
    <col min="13" max="13" width="9.85546875" style="67" customWidth="1"/>
    <col min="14" max="14" width="10" style="67" customWidth="1"/>
    <col min="15" max="15" width="8.7109375" style="67" customWidth="1"/>
    <col min="16" max="16" width="10.42578125" style="67" customWidth="1"/>
    <col min="17" max="17" width="12.42578125" style="67" customWidth="1"/>
    <col min="18" max="18" width="10.28515625" style="67" bestFit="1" customWidth="1"/>
    <col min="19" max="16384" width="9.140625" style="67"/>
  </cols>
  <sheetData>
    <row r="1" spans="1:20" ht="33.75" customHeight="1" thickBot="1" x14ac:dyDescent="0.25">
      <c r="A1" s="1113" t="s">
        <v>86</v>
      </c>
      <c r="B1" s="1113"/>
      <c r="C1" s="1113"/>
      <c r="D1" s="1113"/>
      <c r="E1" s="1113"/>
      <c r="F1" s="1113"/>
      <c r="G1" s="1113"/>
      <c r="H1" s="1113"/>
      <c r="I1" s="1113"/>
      <c r="J1" s="1113"/>
      <c r="K1" s="1113"/>
      <c r="L1" s="1113"/>
      <c r="M1" s="1113"/>
      <c r="N1" s="1113"/>
      <c r="O1" s="1113"/>
      <c r="P1" s="1113"/>
    </row>
    <row r="2" spans="1:20" ht="27" customHeight="1" thickBot="1" x14ac:dyDescent="0.25">
      <c r="A2" s="1114" t="s">
        <v>87</v>
      </c>
      <c r="B2" s="1115"/>
      <c r="C2" s="1115"/>
      <c r="D2" s="1116"/>
      <c r="E2" s="1115"/>
      <c r="F2" s="1115"/>
      <c r="G2" s="1115"/>
      <c r="H2" s="1115"/>
      <c r="I2" s="1115"/>
      <c r="J2" s="1115"/>
      <c r="K2" s="1115"/>
      <c r="L2" s="1115"/>
      <c r="M2" s="1115"/>
      <c r="N2" s="1115"/>
      <c r="O2" s="1115"/>
      <c r="P2" s="1115"/>
    </row>
    <row r="3" spans="1:20" ht="56.25" customHeight="1" x14ac:dyDescent="0.2">
      <c r="A3" s="1117" t="s">
        <v>88</v>
      </c>
      <c r="B3" s="1118"/>
      <c r="C3" s="1119"/>
      <c r="D3" s="68" t="s">
        <v>89</v>
      </c>
      <c r="E3" s="69" t="s">
        <v>90</v>
      </c>
      <c r="F3" s="70" t="s">
        <v>91</v>
      </c>
      <c r="G3" s="71" t="s">
        <v>1081</v>
      </c>
      <c r="H3" s="72" t="s">
        <v>1082</v>
      </c>
      <c r="I3" s="1120" t="s">
        <v>93</v>
      </c>
      <c r="J3" s="1121"/>
      <c r="K3" s="1122"/>
      <c r="L3" s="72" t="s">
        <v>89</v>
      </c>
      <c r="M3" s="73" t="s">
        <v>90</v>
      </c>
      <c r="N3" s="70" t="s">
        <v>91</v>
      </c>
      <c r="O3" s="71" t="s">
        <v>1081</v>
      </c>
      <c r="P3" s="72" t="s">
        <v>1082</v>
      </c>
      <c r="Q3" s="74"/>
    </row>
    <row r="4" spans="1:20" x14ac:dyDescent="0.2">
      <c r="A4" s="75" t="s">
        <v>94</v>
      </c>
      <c r="B4" s="76"/>
      <c r="C4" s="77"/>
      <c r="D4" s="78">
        <f t="shared" ref="D4:G4" si="0">D5+D11</f>
        <v>10479546</v>
      </c>
      <c r="E4" s="79">
        <f t="shared" si="0"/>
        <v>9813848</v>
      </c>
      <c r="F4" s="80">
        <f t="shared" si="0"/>
        <v>9836164</v>
      </c>
      <c r="G4" s="81">
        <f t="shared" si="0"/>
        <v>9041845.773</v>
      </c>
      <c r="H4" s="82">
        <f>H5+H11</f>
        <v>9813847.5250000004</v>
      </c>
      <c r="I4" s="83" t="s">
        <v>95</v>
      </c>
      <c r="J4" s="84"/>
      <c r="K4" s="85"/>
      <c r="L4" s="86">
        <f t="shared" ref="L4:O4" si="1">L5+L11</f>
        <v>10744846</v>
      </c>
      <c r="M4" s="87">
        <f t="shared" si="1"/>
        <v>15456663</v>
      </c>
      <c r="N4" s="88">
        <f t="shared" si="1"/>
        <v>15478978</v>
      </c>
      <c r="O4" s="89">
        <f t="shared" si="1"/>
        <v>10396843.436000003</v>
      </c>
      <c r="P4" s="90">
        <f>P5+P11</f>
        <v>18783980.550000001</v>
      </c>
      <c r="Q4" s="91"/>
      <c r="R4" s="91"/>
    </row>
    <row r="5" spans="1:20" x14ac:dyDescent="0.2">
      <c r="A5" s="92"/>
      <c r="B5" s="76" t="s">
        <v>10</v>
      </c>
      <c r="C5" s="77"/>
      <c r="D5" s="82">
        <f>SUM(D6:D9)</f>
        <v>8558563</v>
      </c>
      <c r="E5" s="79">
        <f>SUM(E6:E9)</f>
        <v>8367384</v>
      </c>
      <c r="F5" s="80">
        <f>SUM(F6:F9)</f>
        <v>8389700</v>
      </c>
      <c r="G5" s="81">
        <f>SUM(G6:G9)</f>
        <v>8189629.4890000001</v>
      </c>
      <c r="H5" s="82">
        <f>SUM(H6:H9)</f>
        <v>8367383.5250000004</v>
      </c>
      <c r="I5" s="93"/>
      <c r="J5" s="84" t="s">
        <v>96</v>
      </c>
      <c r="K5" s="85"/>
      <c r="L5" s="86">
        <f t="shared" ref="L5:O5" si="2">SUM(L6:L10)</f>
        <v>8409966</v>
      </c>
      <c r="M5" s="87">
        <f t="shared" si="2"/>
        <v>12963788</v>
      </c>
      <c r="N5" s="88">
        <f t="shared" si="2"/>
        <v>12981903</v>
      </c>
      <c r="O5" s="89">
        <f t="shared" si="2"/>
        <v>8736747.9220000021</v>
      </c>
      <c r="P5" s="90">
        <f>SUM(P6:P10)</f>
        <v>16291105.26</v>
      </c>
      <c r="Q5" s="91"/>
      <c r="R5" s="91"/>
    </row>
    <row r="6" spans="1:20" ht="22.5" x14ac:dyDescent="0.2">
      <c r="A6" s="94"/>
      <c r="B6" s="95" t="s">
        <v>97</v>
      </c>
      <c r="C6" s="96" t="s">
        <v>5</v>
      </c>
      <c r="D6" s="97">
        <v>2042199</v>
      </c>
      <c r="E6" s="98">
        <f>+'2. bevételek'!AI47</f>
        <v>2307617</v>
      </c>
      <c r="F6" s="98">
        <f>+'2. bevételek'!AJ47</f>
        <v>2329933</v>
      </c>
      <c r="G6" s="98">
        <f>+'2. bevételek'!AK47</f>
        <v>2272473.1339999996</v>
      </c>
      <c r="H6" s="101">
        <f>+'2. bevételek'!AL47</f>
        <v>2307616.5249999999</v>
      </c>
      <c r="I6" s="102"/>
      <c r="J6" s="103" t="s">
        <v>98</v>
      </c>
      <c r="K6" s="104" t="s">
        <v>6</v>
      </c>
      <c r="L6" s="105">
        <v>2781337</v>
      </c>
      <c r="M6" s="106">
        <f>+'3. kiadások'!AI22</f>
        <v>3891562</v>
      </c>
      <c r="N6" s="107">
        <f>+'3. kiadások'!AJ22</f>
        <v>3891562</v>
      </c>
      <c r="O6" s="108">
        <f>+'3. kiadások'!AK22</f>
        <v>3113213.0200000005</v>
      </c>
      <c r="P6" s="105">
        <f>+'3. kiadások'!AL22</f>
        <v>3891562.3</v>
      </c>
      <c r="Q6" s="91"/>
      <c r="R6" s="91"/>
      <c r="T6" s="109"/>
    </row>
    <row r="7" spans="1:20" ht="22.5" x14ac:dyDescent="0.2">
      <c r="A7" s="94"/>
      <c r="B7" s="95" t="s">
        <v>99</v>
      </c>
      <c r="C7" s="110" t="s">
        <v>8</v>
      </c>
      <c r="D7" s="97">
        <v>2756655</v>
      </c>
      <c r="E7" s="98">
        <f>+'2. bevételek'!AI186</f>
        <v>2991479</v>
      </c>
      <c r="F7" s="98">
        <f>+'2. bevételek'!AJ186</f>
        <v>2991479</v>
      </c>
      <c r="G7" s="98">
        <f>+'2. bevételek'!AK186</f>
        <v>2965515.798</v>
      </c>
      <c r="H7" s="101">
        <f>+'2. bevételek'!AL186</f>
        <v>2991479</v>
      </c>
      <c r="I7" s="102"/>
      <c r="J7" s="103" t="s">
        <v>100</v>
      </c>
      <c r="K7" s="104" t="s">
        <v>101</v>
      </c>
      <c r="L7" s="105">
        <v>484275</v>
      </c>
      <c r="M7" s="106">
        <f>+'3. kiadások'!AI23</f>
        <v>564245</v>
      </c>
      <c r="N7" s="107">
        <f>+'3. kiadások'!AJ23</f>
        <v>564245</v>
      </c>
      <c r="O7" s="108">
        <f>+'3. kiadások'!AK23</f>
        <v>484530.98100000003</v>
      </c>
      <c r="P7" s="105">
        <f>+'3. kiadások'!AL22</f>
        <v>3891562.3</v>
      </c>
      <c r="Q7" s="91"/>
      <c r="R7" s="91"/>
      <c r="T7" s="109"/>
    </row>
    <row r="8" spans="1:20" x14ac:dyDescent="0.2">
      <c r="A8" s="94"/>
      <c r="B8" s="95" t="s">
        <v>102</v>
      </c>
      <c r="C8" s="110" t="s">
        <v>10</v>
      </c>
      <c r="D8" s="97">
        <v>3748659</v>
      </c>
      <c r="E8" s="98">
        <f>+'2. bevételek'!AI222</f>
        <v>3068288</v>
      </c>
      <c r="F8" s="98">
        <f>+'2. bevételek'!AJ222</f>
        <v>3068288</v>
      </c>
      <c r="G8" s="98">
        <f>+'2. bevételek'!AK222</f>
        <v>2935985.2629999998</v>
      </c>
      <c r="H8" s="101">
        <f>+'2. bevételek'!AL222</f>
        <v>3068288</v>
      </c>
      <c r="I8" s="102"/>
      <c r="J8" s="103" t="s">
        <v>103</v>
      </c>
      <c r="K8" s="104" t="s">
        <v>11</v>
      </c>
      <c r="L8" s="105">
        <v>4658994</v>
      </c>
      <c r="M8" s="106">
        <f>+'3. kiadások'!AI59</f>
        <v>5500567</v>
      </c>
      <c r="N8" s="107">
        <f>+'3. kiadások'!AJ59</f>
        <v>5565759</v>
      </c>
      <c r="O8" s="108">
        <f>+'3. kiadások'!AK59</f>
        <v>4047634.2470000004</v>
      </c>
      <c r="P8" s="105">
        <f>+'3. kiadások'!AL59</f>
        <v>5500566.9450000003</v>
      </c>
      <c r="Q8" s="91"/>
      <c r="R8" s="91"/>
      <c r="T8" s="109"/>
    </row>
    <row r="9" spans="1:20" x14ac:dyDescent="0.2">
      <c r="A9" s="94"/>
      <c r="B9" s="95" t="s">
        <v>104</v>
      </c>
      <c r="C9" s="110" t="s">
        <v>13</v>
      </c>
      <c r="D9" s="97">
        <v>11050</v>
      </c>
      <c r="E9" s="98">
        <f>+'2. bevételek'!AI257</f>
        <v>0</v>
      </c>
      <c r="F9" s="98">
        <f>+'2. bevételek'!AJ257</f>
        <v>0</v>
      </c>
      <c r="G9" s="98">
        <f>+'2. bevételek'!AK257</f>
        <v>15655.294</v>
      </c>
      <c r="H9" s="101">
        <f>+'2. bevételek'!AL257</f>
        <v>0</v>
      </c>
      <c r="I9" s="102"/>
      <c r="J9" s="103" t="s">
        <v>105</v>
      </c>
      <c r="K9" s="104" t="s">
        <v>14</v>
      </c>
      <c r="L9" s="105">
        <v>107568</v>
      </c>
      <c r="M9" s="106">
        <f>+'3. kiadások'!AI123</f>
        <v>186500</v>
      </c>
      <c r="N9" s="107">
        <f>+'3. kiadások'!AJ123</f>
        <v>186500</v>
      </c>
      <c r="O9" s="108">
        <f>+'3. kiadások'!AK123</f>
        <v>142717.079</v>
      </c>
      <c r="P9" s="105">
        <f>+'3. kiadások'!AL123</f>
        <v>186500</v>
      </c>
      <c r="Q9" s="91"/>
      <c r="R9" s="91"/>
      <c r="T9" s="109"/>
    </row>
    <row r="10" spans="1:20" x14ac:dyDescent="0.2">
      <c r="A10" s="112"/>
      <c r="B10" s="113"/>
      <c r="C10" s="114"/>
      <c r="D10" s="115"/>
      <c r="E10" s="116"/>
      <c r="F10" s="113"/>
      <c r="G10" s="117"/>
      <c r="H10" s="118"/>
      <c r="I10" s="102"/>
      <c r="J10" s="103" t="s">
        <v>106</v>
      </c>
      <c r="K10" s="119" t="s">
        <v>16</v>
      </c>
      <c r="L10" s="105">
        <v>377792</v>
      </c>
      <c r="M10" s="106">
        <f>+'3. kiadások'!AI195</f>
        <v>2820914</v>
      </c>
      <c r="N10" s="107">
        <f>+'3. kiadások'!AJ195</f>
        <v>2773837</v>
      </c>
      <c r="O10" s="108">
        <f>+'3. kiadások'!AK195</f>
        <v>948652.59499999997</v>
      </c>
      <c r="P10" s="105">
        <f>+'3. kiadások'!AL195</f>
        <v>2820913.7149999999</v>
      </c>
      <c r="Q10" s="91"/>
      <c r="R10" s="91"/>
      <c r="T10" s="109"/>
    </row>
    <row r="11" spans="1:20" x14ac:dyDescent="0.2">
      <c r="A11" s="120"/>
      <c r="B11" s="76" t="s">
        <v>19</v>
      </c>
      <c r="C11" s="77"/>
      <c r="D11" s="82">
        <f t="shared" ref="D11:G11" si="3">SUM(D12:D14)</f>
        <v>1920983</v>
      </c>
      <c r="E11" s="79">
        <f t="shared" si="3"/>
        <v>1446464</v>
      </c>
      <c r="F11" s="80">
        <f t="shared" si="3"/>
        <v>1446464</v>
      </c>
      <c r="G11" s="81">
        <f t="shared" si="3"/>
        <v>852216.28399999999</v>
      </c>
      <c r="H11" s="82">
        <f>SUM(H12:H14)</f>
        <v>1446464</v>
      </c>
      <c r="I11" s="120"/>
      <c r="J11" s="84" t="s">
        <v>107</v>
      </c>
      <c r="K11" s="85"/>
      <c r="L11" s="86">
        <f t="shared" ref="L11:O11" si="4">SUM(L12:L14)</f>
        <v>2334880</v>
      </c>
      <c r="M11" s="87">
        <f t="shared" si="4"/>
        <v>2492875</v>
      </c>
      <c r="N11" s="88">
        <f t="shared" si="4"/>
        <v>2497075</v>
      </c>
      <c r="O11" s="89">
        <f t="shared" si="4"/>
        <v>1660095.514</v>
      </c>
      <c r="P11" s="90">
        <f>SUM(P12:P14)</f>
        <v>2492875.29</v>
      </c>
      <c r="Q11" s="91"/>
      <c r="R11" s="91"/>
      <c r="T11" s="109"/>
    </row>
    <row r="12" spans="1:20" ht="22.5" x14ac:dyDescent="0.2">
      <c r="A12" s="94"/>
      <c r="B12" s="95" t="s">
        <v>108</v>
      </c>
      <c r="C12" s="210" t="s">
        <v>17</v>
      </c>
      <c r="D12" s="97">
        <v>1067000</v>
      </c>
      <c r="E12" s="98">
        <f>+'2. bevételek'!AI83</f>
        <v>87464</v>
      </c>
      <c r="F12" s="98">
        <f>+'2. bevételek'!AJ83</f>
        <v>87464</v>
      </c>
      <c r="G12" s="98">
        <f>+'2. bevételek'!AK83</f>
        <v>0</v>
      </c>
      <c r="H12" s="101">
        <f>+'2. bevételek'!AL83</f>
        <v>87464</v>
      </c>
      <c r="I12" s="102"/>
      <c r="J12" s="103" t="s">
        <v>109</v>
      </c>
      <c r="K12" s="104" t="s">
        <v>18</v>
      </c>
      <c r="L12" s="105">
        <v>1758252</v>
      </c>
      <c r="M12" s="106">
        <f>+'3. kiadások'!AI205</f>
        <v>1007058</v>
      </c>
      <c r="N12" s="107">
        <f>+'3. kiadások'!AJ205</f>
        <v>1011258</v>
      </c>
      <c r="O12" s="108">
        <f>+'3. kiadások'!AK205</f>
        <v>850042.4929999999</v>
      </c>
      <c r="P12" s="105">
        <f>+'3. kiadások'!AL205</f>
        <v>1007058.085</v>
      </c>
      <c r="Q12" s="91"/>
      <c r="R12" s="91"/>
      <c r="T12" s="109"/>
    </row>
    <row r="13" spans="1:20" x14ac:dyDescent="0.2">
      <c r="A13" s="121"/>
      <c r="B13" s="122" t="s">
        <v>110</v>
      </c>
      <c r="C13" s="123" t="s">
        <v>19</v>
      </c>
      <c r="D13" s="97">
        <v>847769</v>
      </c>
      <c r="E13" s="98">
        <f>+'2. bevételek'!AI231</f>
        <v>1350000</v>
      </c>
      <c r="F13" s="98">
        <f>+'2. bevételek'!AJ231</f>
        <v>1350000</v>
      </c>
      <c r="G13" s="98">
        <f>+'2. bevételek'!AK231</f>
        <v>753004.55099999998</v>
      </c>
      <c r="H13" s="124">
        <f>+'2. bevételek'!AL231</f>
        <v>1350000</v>
      </c>
      <c r="I13" s="102"/>
      <c r="J13" s="103" t="s">
        <v>111</v>
      </c>
      <c r="K13" s="104" t="s">
        <v>20</v>
      </c>
      <c r="L13" s="105">
        <v>519089</v>
      </c>
      <c r="M13" s="106">
        <f>+'3. kiadások'!AI210</f>
        <v>1266025</v>
      </c>
      <c r="N13" s="107">
        <f>+'3. kiadások'!AJ210</f>
        <v>1266025</v>
      </c>
      <c r="O13" s="108">
        <f>+'3. kiadások'!AK210</f>
        <v>721306.58299999998</v>
      </c>
      <c r="P13" s="105">
        <f>+'3. kiadások'!AL210</f>
        <v>1266024.95</v>
      </c>
      <c r="Q13" s="91"/>
      <c r="R13" s="91"/>
      <c r="T13" s="109"/>
    </row>
    <row r="14" spans="1:20" x14ac:dyDescent="0.2">
      <c r="A14" s="94"/>
      <c r="B14" s="95" t="s">
        <v>112</v>
      </c>
      <c r="C14" s="110" t="s">
        <v>21</v>
      </c>
      <c r="D14" s="97">
        <v>6214</v>
      </c>
      <c r="E14" s="98">
        <f>+'2. bevételek'!AI283</f>
        <v>9000</v>
      </c>
      <c r="F14" s="98">
        <f>+'2. bevételek'!AJ283</f>
        <v>9000</v>
      </c>
      <c r="G14" s="98">
        <f>+'2. bevételek'!AK283</f>
        <v>99211.733000000007</v>
      </c>
      <c r="H14" s="101">
        <f>+'2. bevételek'!AL283</f>
        <v>9000</v>
      </c>
      <c r="I14" s="102"/>
      <c r="J14" s="103" t="s">
        <v>113</v>
      </c>
      <c r="K14" s="104" t="s">
        <v>22</v>
      </c>
      <c r="L14" s="105">
        <v>57539</v>
      </c>
      <c r="M14" s="106">
        <f>+'3. kiadások'!AI272</f>
        <v>219792</v>
      </c>
      <c r="N14" s="107">
        <f>+'3. kiadások'!AJ272</f>
        <v>219792</v>
      </c>
      <c r="O14" s="108">
        <f>+'3. kiadások'!AK272</f>
        <v>88746.437999999995</v>
      </c>
      <c r="P14" s="105">
        <f>+'3. kiadások'!AL272</f>
        <v>219792.255</v>
      </c>
      <c r="Q14" s="91"/>
      <c r="R14" s="91"/>
    </row>
    <row r="15" spans="1:20" x14ac:dyDescent="0.2">
      <c r="A15" s="125" t="s">
        <v>114</v>
      </c>
      <c r="B15" s="76"/>
      <c r="C15" s="77"/>
      <c r="D15" s="82">
        <f t="shared" ref="D15:G15" si="5">SUM(D22:D23,D16)</f>
        <v>17838398</v>
      </c>
      <c r="E15" s="79">
        <f t="shared" si="5"/>
        <v>15636850</v>
      </c>
      <c r="F15" s="80">
        <f t="shared" si="5"/>
        <v>16926193</v>
      </c>
      <c r="G15" s="81">
        <f t="shared" si="5"/>
        <v>16763664.999000002</v>
      </c>
      <c r="H15" s="82">
        <f>SUM(H22:H23,H16)</f>
        <v>11395820.5</v>
      </c>
      <c r="I15" s="126" t="s">
        <v>115</v>
      </c>
      <c r="J15" s="84"/>
      <c r="K15" s="85"/>
      <c r="L15" s="86">
        <f t="shared" ref="L15:O15" si="6">SUM(L22:L23,L16)</f>
        <v>11098445</v>
      </c>
      <c r="M15" s="87">
        <f t="shared" si="6"/>
        <v>4601631</v>
      </c>
      <c r="N15" s="88">
        <f t="shared" si="6"/>
        <v>4601631</v>
      </c>
      <c r="O15" s="89">
        <f t="shared" si="6"/>
        <v>5321830.0039999997</v>
      </c>
      <c r="P15" s="90">
        <f>SUM(P22:P23,P16)</f>
        <v>4601631</v>
      </c>
      <c r="Q15" s="91"/>
      <c r="R15" s="91"/>
    </row>
    <row r="16" spans="1:20" x14ac:dyDescent="0.2">
      <c r="A16" s="75"/>
      <c r="B16" s="127" t="s">
        <v>116</v>
      </c>
      <c r="C16" s="110" t="s">
        <v>117</v>
      </c>
      <c r="D16" s="128">
        <f>SUM(D17:D20)</f>
        <v>17838398</v>
      </c>
      <c r="E16" s="98">
        <v>15636850</v>
      </c>
      <c r="F16" s="99">
        <v>16926193</v>
      </c>
      <c r="G16" s="100">
        <f>SUM(G17:G20)</f>
        <v>16763664.999000002</v>
      </c>
      <c r="H16" s="101">
        <f>SUM(H18:H21)</f>
        <v>11395820.5</v>
      </c>
      <c r="I16" s="83"/>
      <c r="J16" s="103" t="s">
        <v>118</v>
      </c>
      <c r="K16" s="129" t="s">
        <v>119</v>
      </c>
      <c r="L16" s="130">
        <f>SUM(L17:L20)</f>
        <v>11098445</v>
      </c>
      <c r="M16" s="106">
        <f>SUM(M17:M19)</f>
        <v>4601631</v>
      </c>
      <c r="N16" s="107">
        <f t="shared" ref="N16:P16" si="7">SUM(N17:N19)</f>
        <v>4601631</v>
      </c>
      <c r="O16" s="108">
        <f t="shared" si="7"/>
        <v>5321830.0039999997</v>
      </c>
      <c r="P16" s="105">
        <f t="shared" si="7"/>
        <v>4601631</v>
      </c>
      <c r="Q16" s="91"/>
      <c r="R16" s="91"/>
    </row>
    <row r="17" spans="1:18" x14ac:dyDescent="0.2">
      <c r="A17" s="131"/>
      <c r="B17" s="95"/>
      <c r="C17" s="132" t="s">
        <v>120</v>
      </c>
      <c r="D17" s="133">
        <v>8114016</v>
      </c>
      <c r="E17" s="134">
        <v>4757910</v>
      </c>
      <c r="F17" s="135">
        <v>4757910</v>
      </c>
      <c r="G17" s="136">
        <v>4757910</v>
      </c>
      <c r="H17" s="137"/>
      <c r="I17" s="102"/>
      <c r="J17" s="103"/>
      <c r="K17" s="138" t="s">
        <v>121</v>
      </c>
      <c r="L17" s="139">
        <v>5557910</v>
      </c>
      <c r="M17" s="140">
        <f>+'3. kiadások'!C292</f>
        <v>0</v>
      </c>
      <c r="N17" s="141">
        <v>0</v>
      </c>
      <c r="O17" s="142">
        <v>0</v>
      </c>
      <c r="P17" s="143"/>
      <c r="Q17" s="109"/>
    </row>
    <row r="18" spans="1:18" x14ac:dyDescent="0.2">
      <c r="A18" s="75"/>
      <c r="B18" s="127"/>
      <c r="C18" s="132" t="s">
        <v>122</v>
      </c>
      <c r="D18" s="133">
        <v>4176278</v>
      </c>
      <c r="E18" s="134">
        <f>+'2. bevételek'!AI296</f>
        <v>4254190</v>
      </c>
      <c r="F18" s="134">
        <f>+'2. bevételek'!AJ296</f>
        <v>4254190</v>
      </c>
      <c r="G18" s="134">
        <f>+'2. bevételek'!AK296</f>
        <v>6458424.9990000008</v>
      </c>
      <c r="H18" s="144">
        <f>+'2. bevételek'!AL298</f>
        <v>4254190</v>
      </c>
      <c r="I18" s="102"/>
      <c r="J18" s="103"/>
      <c r="K18" s="145"/>
      <c r="L18" s="139"/>
      <c r="M18" s="140"/>
      <c r="N18" s="141"/>
      <c r="O18" s="142"/>
      <c r="P18" s="143"/>
      <c r="Q18" s="109"/>
    </row>
    <row r="19" spans="1:18" ht="22.5" x14ac:dyDescent="0.2">
      <c r="A19" s="75"/>
      <c r="B19" s="127"/>
      <c r="C19" s="145" t="s">
        <v>123</v>
      </c>
      <c r="D19" s="133">
        <v>5495500</v>
      </c>
      <c r="E19" s="134">
        <f>+'2. bevételek'!AI301</f>
        <v>4601630.5</v>
      </c>
      <c r="F19" s="134">
        <f>+'2. bevételek'!AJ301</f>
        <v>4601630.5</v>
      </c>
      <c r="G19" s="134">
        <f>+'2. bevételek'!AK301</f>
        <v>5224616</v>
      </c>
      <c r="H19" s="144">
        <f>+'2. bevételek'!AL301</f>
        <v>4601630.5</v>
      </c>
      <c r="I19" s="102"/>
      <c r="J19" s="103"/>
      <c r="K19" s="145" t="s">
        <v>123</v>
      </c>
      <c r="L19" s="139">
        <v>5495500</v>
      </c>
      <c r="M19" s="140">
        <f>+'3. kiadások'!AI295</f>
        <v>4601631</v>
      </c>
      <c r="N19" s="141">
        <f>+'3. kiadások'!AJ295</f>
        <v>4601631</v>
      </c>
      <c r="O19" s="141">
        <f>+'3. kiadások'!AK295</f>
        <v>5321830.0039999997</v>
      </c>
      <c r="P19" s="143">
        <f>+'3. kiadások'!AL295</f>
        <v>4601631</v>
      </c>
      <c r="Q19" s="109"/>
    </row>
    <row r="20" spans="1:18" ht="22.5" hidden="1" x14ac:dyDescent="0.2">
      <c r="A20" s="75"/>
      <c r="B20" s="127"/>
      <c r="C20" s="132" t="s">
        <v>124</v>
      </c>
      <c r="D20" s="133">
        <v>52604</v>
      </c>
      <c r="E20" s="134">
        <v>0</v>
      </c>
      <c r="F20" s="135"/>
      <c r="G20" s="136">
        <v>322714</v>
      </c>
      <c r="H20" s="144"/>
      <c r="I20" s="102"/>
      <c r="J20" s="103"/>
      <c r="K20" s="146" t="s">
        <v>125</v>
      </c>
      <c r="L20" s="139">
        <v>45035</v>
      </c>
      <c r="M20" s="140">
        <v>22000</v>
      </c>
      <c r="N20" s="141">
        <v>372000</v>
      </c>
      <c r="O20" s="142">
        <v>375319</v>
      </c>
      <c r="P20" s="143"/>
      <c r="Q20" s="109"/>
    </row>
    <row r="21" spans="1:18" x14ac:dyDescent="0.2">
      <c r="A21" s="75"/>
      <c r="B21" s="127"/>
      <c r="C21" s="132" t="s">
        <v>126</v>
      </c>
      <c r="D21" s="133"/>
      <c r="E21" s="134"/>
      <c r="F21" s="135"/>
      <c r="G21" s="136"/>
      <c r="H21" s="144">
        <f>+'2. bevételek'!AL302</f>
        <v>2540000</v>
      </c>
      <c r="I21" s="102"/>
      <c r="J21" s="103"/>
      <c r="K21" s="138" t="s">
        <v>127</v>
      </c>
      <c r="L21" s="147"/>
      <c r="M21" s="106"/>
      <c r="N21" s="853">
        <f>+'3. kiadások'!D296</f>
        <v>1100000</v>
      </c>
      <c r="O21" s="142">
        <v>2500000</v>
      </c>
      <c r="P21" s="143"/>
      <c r="Q21" s="109"/>
    </row>
    <row r="22" spans="1:18" x14ac:dyDescent="0.2">
      <c r="A22" s="94"/>
      <c r="B22" s="95" t="s">
        <v>128</v>
      </c>
      <c r="C22" s="110" t="s">
        <v>129</v>
      </c>
      <c r="D22" s="148"/>
      <c r="E22" s="149"/>
      <c r="F22" s="150"/>
      <c r="G22" s="151"/>
      <c r="H22" s="152">
        <f>'[5]2. melléklet'!K313</f>
        <v>0</v>
      </c>
      <c r="I22" s="102"/>
      <c r="J22" s="103" t="s">
        <v>130</v>
      </c>
      <c r="K22" s="129" t="s">
        <v>131</v>
      </c>
      <c r="L22" s="153"/>
      <c r="M22" s="154"/>
      <c r="N22" s="155"/>
      <c r="O22" s="142"/>
      <c r="P22" s="111">
        <v>0</v>
      </c>
    </row>
    <row r="23" spans="1:18" x14ac:dyDescent="0.2">
      <c r="A23" s="94"/>
      <c r="B23" s="95" t="s">
        <v>132</v>
      </c>
      <c r="C23" s="96" t="s">
        <v>133</v>
      </c>
      <c r="D23" s="156"/>
      <c r="E23" s="157"/>
      <c r="F23" s="158"/>
      <c r="G23" s="159"/>
      <c r="H23" s="152">
        <f>'[5]2. melléklet'!K315</f>
        <v>0</v>
      </c>
      <c r="I23" s="102"/>
      <c r="J23" s="103" t="s">
        <v>134</v>
      </c>
      <c r="K23" s="129" t="s">
        <v>135</v>
      </c>
      <c r="L23" s="153"/>
      <c r="M23" s="154"/>
      <c r="N23" s="155"/>
      <c r="O23" s="160"/>
      <c r="P23" s="111">
        <v>0</v>
      </c>
    </row>
    <row r="24" spans="1:18" ht="23.25" thickBot="1" x14ac:dyDescent="0.25">
      <c r="A24" s="94"/>
      <c r="B24" s="150"/>
      <c r="C24" s="146" t="s">
        <v>136</v>
      </c>
      <c r="D24" s="161"/>
      <c r="E24" s="162">
        <f t="shared" ref="E24:G24" si="8">E16-E17</f>
        <v>10878940</v>
      </c>
      <c r="F24" s="163">
        <f>+F16-F19</f>
        <v>12324562.5</v>
      </c>
      <c r="G24" s="164">
        <f t="shared" si="8"/>
        <v>12005754.999000002</v>
      </c>
      <c r="H24" s="165">
        <f>H16-H19</f>
        <v>6794190</v>
      </c>
      <c r="I24" s="102"/>
      <c r="J24" s="155"/>
      <c r="K24" s="146" t="s">
        <v>137</v>
      </c>
      <c r="L24" s="166"/>
      <c r="M24" s="166"/>
      <c r="N24" s="167"/>
      <c r="O24" s="168"/>
      <c r="P24" s="169">
        <f>P16-P18</f>
        <v>4601631</v>
      </c>
    </row>
    <row r="25" spans="1:18" x14ac:dyDescent="0.2">
      <c r="A25" s="75" t="s">
        <v>138</v>
      </c>
      <c r="B25" s="170"/>
      <c r="C25" s="77"/>
      <c r="D25" s="171">
        <f t="shared" ref="D25:F25" si="9">D4+D15</f>
        <v>28317944</v>
      </c>
      <c r="E25" s="172">
        <f t="shared" si="9"/>
        <v>25450698</v>
      </c>
      <c r="F25" s="173">
        <f t="shared" si="9"/>
        <v>26762357</v>
      </c>
      <c r="G25" s="174">
        <f>G4+G15</f>
        <v>25805510.772</v>
      </c>
      <c r="H25" s="171">
        <f>H4+H15+1</f>
        <v>21209669.024999999</v>
      </c>
      <c r="I25" s="175" t="s">
        <v>139</v>
      </c>
      <c r="J25" s="176"/>
      <c r="K25" s="177"/>
      <c r="L25" s="178">
        <f>L4+L15</f>
        <v>21843291</v>
      </c>
      <c r="M25" s="179">
        <f>M4+M15</f>
        <v>20058294</v>
      </c>
      <c r="N25" s="180">
        <f>N4+N15</f>
        <v>20080609</v>
      </c>
      <c r="O25" s="181">
        <f>O4+O15</f>
        <v>15718673.440000001</v>
      </c>
      <c r="P25" s="182">
        <f>P4+P15</f>
        <v>23385611.550000001</v>
      </c>
      <c r="Q25" s="91"/>
      <c r="R25" s="91"/>
    </row>
    <row r="26" spans="1:18" x14ac:dyDescent="0.2">
      <c r="A26" s="1123" t="s">
        <v>140</v>
      </c>
      <c r="B26" s="1124"/>
      <c r="C26" s="1125"/>
      <c r="D26" s="101">
        <f>D19*-1</f>
        <v>-5495500</v>
      </c>
      <c r="E26" s="183">
        <f>E19*-1</f>
        <v>-4601630.5</v>
      </c>
      <c r="F26" s="99">
        <f>F19*-1</f>
        <v>-4601630.5</v>
      </c>
      <c r="G26" s="100">
        <f>G19*-1</f>
        <v>-5224616</v>
      </c>
      <c r="H26" s="101">
        <f>H19*-1</f>
        <v>-4601630.5</v>
      </c>
      <c r="I26" s="1126" t="s">
        <v>141</v>
      </c>
      <c r="J26" s="1127"/>
      <c r="K26" s="1128"/>
      <c r="L26" s="184">
        <f>L19*-1</f>
        <v>-5495500</v>
      </c>
      <c r="M26" s="185">
        <f>M19*-1</f>
        <v>-4601631</v>
      </c>
      <c r="N26" s="186">
        <f>N19*-1</f>
        <v>-4601631</v>
      </c>
      <c r="O26" s="187">
        <f>O19*-1</f>
        <v>-5321830.0039999997</v>
      </c>
      <c r="P26" s="188">
        <f>P19*-1</f>
        <v>-4601631</v>
      </c>
      <c r="Q26" s="109"/>
    </row>
    <row r="27" spans="1:18" ht="13.5" thickBot="1" x14ac:dyDescent="0.25">
      <c r="A27" s="1101" t="s">
        <v>142</v>
      </c>
      <c r="B27" s="1102"/>
      <c r="C27" s="1103"/>
      <c r="D27" s="189">
        <f t="shared" ref="D27:F27" si="10">D25+D26</f>
        <v>22822444</v>
      </c>
      <c r="E27" s="190">
        <f t="shared" si="10"/>
        <v>20849067.5</v>
      </c>
      <c r="F27" s="191">
        <f t="shared" si="10"/>
        <v>22160726.5</v>
      </c>
      <c r="G27" s="192">
        <f>G25+G26</f>
        <v>20580894.772</v>
      </c>
      <c r="H27" s="189">
        <f>H25+H26-1</f>
        <v>16608037.524999999</v>
      </c>
      <c r="I27" s="1104" t="s">
        <v>143</v>
      </c>
      <c r="J27" s="1105"/>
      <c r="K27" s="1106"/>
      <c r="L27" s="193">
        <f>L25+L26</f>
        <v>16347791</v>
      </c>
      <c r="M27" s="194">
        <f>M25+M26</f>
        <v>15456663</v>
      </c>
      <c r="N27" s="195">
        <f>N25+N26</f>
        <v>15478978</v>
      </c>
      <c r="O27" s="196">
        <f>O25+O26</f>
        <v>10396843.436000001</v>
      </c>
      <c r="P27" s="197">
        <f>P25+P26</f>
        <v>18783980.550000001</v>
      </c>
      <c r="Q27" s="109"/>
    </row>
    <row r="28" spans="1:18" x14ac:dyDescent="0.2">
      <c r="A28" s="198" t="s">
        <v>144</v>
      </c>
      <c r="B28" s="199"/>
      <c r="C28" s="198"/>
      <c r="D28" s="200"/>
      <c r="E28" s="200"/>
      <c r="F28" s="200"/>
      <c r="G28" s="200"/>
      <c r="H28" s="201"/>
      <c r="I28" s="1107"/>
      <c r="J28" s="1108"/>
      <c r="K28" s="1108"/>
      <c r="L28" s="1109"/>
      <c r="M28" s="1109"/>
      <c r="N28" s="1109"/>
      <c r="O28" s="1109"/>
      <c r="P28" s="1108"/>
    </row>
    <row r="29" spans="1:18" x14ac:dyDescent="0.2">
      <c r="A29" s="202" t="s">
        <v>145</v>
      </c>
      <c r="B29" s="203"/>
      <c r="C29" s="202"/>
      <c r="D29" s="99">
        <f>SUM(D30:D31)</f>
        <v>-265300</v>
      </c>
      <c r="E29" s="99">
        <f>SUM(E30:E31)</f>
        <v>-5642815</v>
      </c>
      <c r="F29" s="99">
        <f>SUM(F30:F31)</f>
        <v>-5642814</v>
      </c>
      <c r="G29" s="99">
        <f>SUM(G30:G31)</f>
        <v>-1354997.663000002</v>
      </c>
      <c r="H29" s="99">
        <f>SUM(H30:H31)</f>
        <v>-8970133.0249999985</v>
      </c>
      <c r="I29" s="1110"/>
      <c r="J29" s="1109"/>
      <c r="K29" s="1109"/>
      <c r="L29" s="1109"/>
      <c r="M29" s="1109"/>
      <c r="N29" s="1109"/>
      <c r="O29" s="1109"/>
      <c r="P29" s="1109"/>
    </row>
    <row r="30" spans="1:18" x14ac:dyDescent="0.2">
      <c r="A30" s="204"/>
      <c r="B30" s="205" t="s">
        <v>146</v>
      </c>
      <c r="C30" s="206"/>
      <c r="D30" s="99">
        <f>+D5-L5</f>
        <v>148597</v>
      </c>
      <c r="E30" s="99">
        <f>+E5-M5</f>
        <v>-4596404</v>
      </c>
      <c r="F30" s="99">
        <f>+F5-N5</f>
        <v>-4592203</v>
      </c>
      <c r="G30" s="99">
        <f>+G5-O5</f>
        <v>-547118.43300000206</v>
      </c>
      <c r="H30" s="99">
        <f>+H5-P5</f>
        <v>-7923721.7349999994</v>
      </c>
      <c r="I30" s="1110"/>
      <c r="J30" s="1109"/>
      <c r="K30" s="1109"/>
      <c r="L30" s="1109"/>
      <c r="M30" s="1109"/>
      <c r="N30" s="1109"/>
      <c r="O30" s="1109"/>
      <c r="P30" s="1109"/>
    </row>
    <row r="31" spans="1:18" x14ac:dyDescent="0.2">
      <c r="A31" s="204"/>
      <c r="B31" s="205" t="s">
        <v>147</v>
      </c>
      <c r="C31" s="206"/>
      <c r="D31" s="99">
        <f>+D11-L11</f>
        <v>-413897</v>
      </c>
      <c r="E31" s="99">
        <f>+E11-M11</f>
        <v>-1046411</v>
      </c>
      <c r="F31" s="99">
        <f>+F11-N11</f>
        <v>-1050611</v>
      </c>
      <c r="G31" s="99">
        <f>+G11-O11</f>
        <v>-807879.23</v>
      </c>
      <c r="H31" s="99">
        <f>+H11-P11</f>
        <v>-1046411.29</v>
      </c>
      <c r="I31" s="1110"/>
      <c r="J31" s="1109"/>
      <c r="K31" s="1109"/>
      <c r="L31" s="1109"/>
      <c r="M31" s="1109"/>
      <c r="N31" s="1109"/>
      <c r="O31" s="1109"/>
      <c r="P31" s="1109"/>
    </row>
    <row r="32" spans="1:18" x14ac:dyDescent="0.2">
      <c r="A32" s="202" t="s">
        <v>148</v>
      </c>
      <c r="B32" s="203"/>
      <c r="C32" s="202"/>
      <c r="D32" s="99">
        <f>D15-L15</f>
        <v>6739953</v>
      </c>
      <c r="E32" s="99">
        <f>E15-M15</f>
        <v>11035219</v>
      </c>
      <c r="F32" s="99">
        <f>F15-N15</f>
        <v>12324562</v>
      </c>
      <c r="G32" s="99">
        <f>G15-O15</f>
        <v>11441834.995000001</v>
      </c>
      <c r="H32" s="99">
        <f>H15-P15</f>
        <v>6794189.5</v>
      </c>
      <c r="I32" s="1110"/>
      <c r="J32" s="1109"/>
      <c r="K32" s="1109"/>
      <c r="L32" s="1109"/>
      <c r="M32" s="1109"/>
      <c r="N32" s="1109"/>
      <c r="O32" s="1109"/>
      <c r="P32" s="1109"/>
    </row>
    <row r="33" spans="1:16" ht="13.5" thickBot="1" x14ac:dyDescent="0.25">
      <c r="A33" s="207" t="s">
        <v>149</v>
      </c>
      <c r="B33" s="208"/>
      <c r="C33" s="209"/>
      <c r="D33" s="191">
        <f>D32+D29</f>
        <v>6474653</v>
      </c>
      <c r="E33" s="191">
        <f>E32+E29+1</f>
        <v>5392405</v>
      </c>
      <c r="F33" s="191">
        <f>F32+F29</f>
        <v>6681748</v>
      </c>
      <c r="G33" s="191">
        <f>G32+G29</f>
        <v>10086837.331999999</v>
      </c>
      <c r="H33" s="191">
        <f>H32+H29</f>
        <v>-2175943.5249999985</v>
      </c>
      <c r="I33" s="1111"/>
      <c r="J33" s="1112"/>
      <c r="K33" s="1112"/>
      <c r="L33" s="1112"/>
      <c r="M33" s="1112"/>
      <c r="N33" s="1112"/>
      <c r="O33" s="1112"/>
      <c r="P33" s="1112"/>
    </row>
  </sheetData>
  <mergeCells count="9">
    <mergeCell ref="A27:C27"/>
    <mergeCell ref="I27:K27"/>
    <mergeCell ref="I28:P33"/>
    <mergeCell ref="A1:P1"/>
    <mergeCell ref="A2:P2"/>
    <mergeCell ref="A3:C3"/>
    <mergeCell ref="I3:K3"/>
    <mergeCell ref="A26:C26"/>
    <mergeCell ref="I26:K26"/>
  </mergeCells>
  <pageMargins left="0.27559055118110237" right="0.31496062992125984" top="0.74803149606299213" bottom="0.74803149606299213" header="0.31496062992125984" footer="0.31496062992125984"/>
  <pageSetup paperSize="9" scale="85" fitToHeight="0" orientation="landscape" r:id="rId1"/>
  <headerFooter>
    <oddHeader>&amp;R1. tájékoztató tábla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view="pageBreakPreview" zoomScale="110" zoomScaleNormal="120" zoomScaleSheetLayoutView="110" zoomScalePageLayoutView="160" workbookViewId="0">
      <selection activeCell="J11" sqref="J11:J12"/>
    </sheetView>
  </sheetViews>
  <sheetFormatPr defaultRowHeight="15" x14ac:dyDescent="0.25"/>
  <cols>
    <col min="1" max="1" width="4.7109375" customWidth="1"/>
    <col min="2" max="2" width="8.28515625" customWidth="1"/>
    <col min="3" max="3" width="41.5703125" customWidth="1"/>
    <col min="4" max="5" width="14.7109375" customWidth="1"/>
    <col min="6" max="6" width="8.7109375" customWidth="1"/>
    <col min="7" max="7" width="10" customWidth="1"/>
    <col min="8" max="8" width="30.42578125" customWidth="1"/>
    <col min="9" max="9" width="13.5703125" customWidth="1"/>
    <col min="10" max="10" width="12.42578125" customWidth="1"/>
    <col min="11" max="11" width="10.28515625" bestFit="1" customWidth="1"/>
  </cols>
  <sheetData>
    <row r="1" spans="1:11" ht="55.5" customHeight="1" x14ac:dyDescent="0.25">
      <c r="A1" s="1132" t="s">
        <v>731</v>
      </c>
      <c r="B1" s="1133"/>
      <c r="C1" s="1133"/>
      <c r="D1" s="1133"/>
      <c r="E1" s="1133"/>
      <c r="F1" s="1133"/>
      <c r="G1" s="1133"/>
      <c r="H1" s="1133"/>
      <c r="I1" s="1133"/>
      <c r="J1" s="1134"/>
    </row>
    <row r="2" spans="1:11" ht="38.25" customHeight="1" thickBot="1" x14ac:dyDescent="0.3">
      <c r="A2" s="1129" t="s">
        <v>87</v>
      </c>
      <c r="B2" s="1130"/>
      <c r="C2" s="1130"/>
      <c r="D2" s="1130"/>
      <c r="E2" s="1130"/>
      <c r="F2" s="1130"/>
      <c r="G2" s="1130"/>
      <c r="H2" s="1130"/>
      <c r="I2" s="1130"/>
      <c r="J2" s="1131"/>
    </row>
    <row r="3" spans="1:11" ht="38.25" x14ac:dyDescent="0.25">
      <c r="A3" s="1155" t="s">
        <v>88</v>
      </c>
      <c r="B3" s="1156"/>
      <c r="C3" s="1156"/>
      <c r="D3" s="1100" t="s">
        <v>92</v>
      </c>
      <c r="E3" s="1100" t="s">
        <v>1510</v>
      </c>
      <c r="F3" s="1157" t="s">
        <v>93</v>
      </c>
      <c r="G3" s="1158"/>
      <c r="H3" s="1158"/>
      <c r="I3" s="1100" t="s">
        <v>92</v>
      </c>
      <c r="J3" s="1100" t="s">
        <v>1510</v>
      </c>
    </row>
    <row r="4" spans="1:11" x14ac:dyDescent="0.25">
      <c r="A4" s="534" t="s">
        <v>94</v>
      </c>
      <c r="B4" s="535"/>
      <c r="C4" s="535"/>
      <c r="D4" s="536">
        <f>D5+D13</f>
        <v>9813848</v>
      </c>
      <c r="E4" s="536">
        <f>E5+E13</f>
        <v>9836164</v>
      </c>
      <c r="F4" s="1159" t="s">
        <v>95</v>
      </c>
      <c r="G4" s="1160"/>
      <c r="H4" s="1161"/>
      <c r="I4" s="536">
        <f>I5+I13</f>
        <v>15456662</v>
      </c>
      <c r="J4" s="536">
        <f>J5+J13</f>
        <v>15478978</v>
      </c>
    </row>
    <row r="5" spans="1:11" x14ac:dyDescent="0.25">
      <c r="A5" s="537"/>
      <c r="B5" s="535" t="s">
        <v>10</v>
      </c>
      <c r="C5" s="535"/>
      <c r="D5" s="536">
        <f>SUM(D6:D9)</f>
        <v>8367384</v>
      </c>
      <c r="E5" s="536">
        <f>SUM(E6:E9)</f>
        <v>8389700</v>
      </c>
      <c r="F5" s="538"/>
      <c r="G5" s="539" t="s">
        <v>96</v>
      </c>
      <c r="H5" s="539"/>
      <c r="I5" s="536">
        <f>SUM(I6:I10)-1</f>
        <v>12963787</v>
      </c>
      <c r="J5" s="536">
        <f>SUM(J6:J10)</f>
        <v>12981903</v>
      </c>
      <c r="K5" s="564">
        <f>+J5-I5</f>
        <v>18116</v>
      </c>
    </row>
    <row r="6" spans="1:11" x14ac:dyDescent="0.25">
      <c r="A6" s="540"/>
      <c r="B6" s="541" t="s">
        <v>97</v>
      </c>
      <c r="C6" s="542" t="s">
        <v>5</v>
      </c>
      <c r="D6" s="543">
        <f>+'2. bevételek'!AI47</f>
        <v>2307617</v>
      </c>
      <c r="E6" s="543">
        <f>+'2. bevételek'!AJ47</f>
        <v>2329933</v>
      </c>
      <c r="F6" s="544"/>
      <c r="G6" s="545" t="s">
        <v>98</v>
      </c>
      <c r="H6" s="546" t="s">
        <v>6</v>
      </c>
      <c r="I6" s="543">
        <f>+'3. kiadások'!AI22</f>
        <v>3891562</v>
      </c>
      <c r="J6" s="543">
        <f>+'3. kiadások'!AJ22</f>
        <v>3891562</v>
      </c>
    </row>
    <row r="7" spans="1:11" x14ac:dyDescent="0.25">
      <c r="A7" s="540"/>
      <c r="B7" s="541" t="s">
        <v>99</v>
      </c>
      <c r="C7" s="542" t="s">
        <v>8</v>
      </c>
      <c r="D7" s="543">
        <f>+'2. bevételek'!AI186</f>
        <v>2991479</v>
      </c>
      <c r="E7" s="543">
        <f>+'2. bevételek'!AJ186</f>
        <v>2991479</v>
      </c>
      <c r="F7" s="544"/>
      <c r="G7" s="545" t="s">
        <v>100</v>
      </c>
      <c r="H7" s="546" t="s">
        <v>732</v>
      </c>
      <c r="I7" s="543">
        <f>+'3. kiadások'!AI23</f>
        <v>564245</v>
      </c>
      <c r="J7" s="543">
        <f>+'3. kiadások'!AJ23</f>
        <v>564245</v>
      </c>
    </row>
    <row r="8" spans="1:11" x14ac:dyDescent="0.25">
      <c r="A8" s="540"/>
      <c r="B8" s="541" t="s">
        <v>102</v>
      </c>
      <c r="C8" s="542" t="s">
        <v>10</v>
      </c>
      <c r="D8" s="543">
        <f>+'2. bevételek'!AI222</f>
        <v>3068288</v>
      </c>
      <c r="E8" s="543">
        <f>+'2. bevételek'!AJ222</f>
        <v>3068288</v>
      </c>
      <c r="F8" s="544"/>
      <c r="G8" s="545" t="s">
        <v>103</v>
      </c>
      <c r="H8" s="546" t="s">
        <v>11</v>
      </c>
      <c r="I8" s="543">
        <f>+'3. kiadások'!AI59</f>
        <v>5500567</v>
      </c>
      <c r="J8" s="543">
        <f>+'3. kiadások'!AJ59</f>
        <v>5565759</v>
      </c>
    </row>
    <row r="9" spans="1:11" x14ac:dyDescent="0.25">
      <c r="A9" s="540"/>
      <c r="B9" s="541" t="s">
        <v>104</v>
      </c>
      <c r="C9" s="542" t="s">
        <v>13</v>
      </c>
      <c r="D9" s="543">
        <f>+'2. bevételek'!AI257</f>
        <v>0</v>
      </c>
      <c r="E9" s="543">
        <f>+'2. bevételek'!AJ257</f>
        <v>0</v>
      </c>
      <c r="F9" s="544"/>
      <c r="G9" s="545" t="s">
        <v>105</v>
      </c>
      <c r="H9" s="546" t="s">
        <v>14</v>
      </c>
      <c r="I9" s="543">
        <f>+'3. kiadások'!AI123</f>
        <v>186500</v>
      </c>
      <c r="J9" s="543">
        <f>+'3. kiadások'!AJ123</f>
        <v>186500</v>
      </c>
    </row>
    <row r="10" spans="1:11" x14ac:dyDescent="0.25">
      <c r="A10" s="547"/>
      <c r="B10" s="548"/>
      <c r="C10" s="548"/>
      <c r="D10" s="549"/>
      <c r="E10" s="1000"/>
      <c r="F10" s="544"/>
      <c r="G10" s="545" t="s">
        <v>106</v>
      </c>
      <c r="H10" s="550" t="s">
        <v>16</v>
      </c>
      <c r="I10" s="543">
        <f>+'3. kiadások'!AI195</f>
        <v>2820914</v>
      </c>
      <c r="J10" s="543">
        <f>+'3. kiadások'!AJ195</f>
        <v>2773837</v>
      </c>
      <c r="K10" s="564"/>
    </row>
    <row r="11" spans="1:11" x14ac:dyDescent="0.25">
      <c r="A11" s="547"/>
      <c r="B11" s="548"/>
      <c r="C11" s="548"/>
      <c r="D11" s="549"/>
      <c r="E11" s="1000"/>
      <c r="F11" s="544"/>
      <c r="G11" s="551"/>
      <c r="H11" s="552" t="s">
        <v>733</v>
      </c>
      <c r="I11" s="568">
        <f>+'5 melléklet'!C3</f>
        <v>140000</v>
      </c>
      <c r="J11" s="568">
        <f>+'5 melléklet'!E3</f>
        <v>94792</v>
      </c>
    </row>
    <row r="12" spans="1:11" x14ac:dyDescent="0.25">
      <c r="A12" s="547"/>
      <c r="B12" s="548"/>
      <c r="C12" s="548"/>
      <c r="D12" s="549"/>
      <c r="E12" s="1000"/>
      <c r="F12" s="544"/>
      <c r="G12" s="551"/>
      <c r="H12" s="553" t="s">
        <v>734</v>
      </c>
      <c r="I12" s="568">
        <f>+'5 melléklet'!C4</f>
        <v>1325753.7150000001</v>
      </c>
      <c r="J12" s="568">
        <f>+'5 melléklet'!E4</f>
        <v>1261454</v>
      </c>
    </row>
    <row r="13" spans="1:11" x14ac:dyDescent="0.25">
      <c r="A13" s="554"/>
      <c r="B13" s="535" t="s">
        <v>19</v>
      </c>
      <c r="C13" s="535"/>
      <c r="D13" s="536">
        <f>SUM(D14:D16)</f>
        <v>1446464</v>
      </c>
      <c r="E13" s="536">
        <f>SUM(E14:E16)</f>
        <v>1446464</v>
      </c>
      <c r="F13" s="544"/>
      <c r="G13" s="539" t="s">
        <v>107</v>
      </c>
      <c r="H13" s="539"/>
      <c r="I13" s="536">
        <f>SUM(I14:I16)</f>
        <v>2492875</v>
      </c>
      <c r="J13" s="536">
        <f>SUM(J14:J16)</f>
        <v>2497075</v>
      </c>
      <c r="K13" s="564">
        <f>+J13-I13</f>
        <v>4200</v>
      </c>
    </row>
    <row r="14" spans="1:11" x14ac:dyDescent="0.25">
      <c r="A14" s="540"/>
      <c r="B14" s="541" t="s">
        <v>108</v>
      </c>
      <c r="C14" s="555" t="s">
        <v>17</v>
      </c>
      <c r="D14" s="543">
        <f>+'2. bevételek'!AI79</f>
        <v>87464</v>
      </c>
      <c r="E14" s="543">
        <f>+'2. bevételek'!AJ79</f>
        <v>87464</v>
      </c>
      <c r="F14" s="544"/>
      <c r="G14" s="545" t="s">
        <v>109</v>
      </c>
      <c r="H14" s="546" t="s">
        <v>18</v>
      </c>
      <c r="I14" s="543">
        <f>+'3. kiadások'!AI205</f>
        <v>1007058</v>
      </c>
      <c r="J14" s="543">
        <f>+'3. kiadások'!AJ205</f>
        <v>1011258</v>
      </c>
    </row>
    <row r="15" spans="1:11" x14ac:dyDescent="0.25">
      <c r="A15" s="556"/>
      <c r="B15" s="557" t="s">
        <v>110</v>
      </c>
      <c r="C15" s="558" t="s">
        <v>19</v>
      </c>
      <c r="D15" s="559">
        <f>+'2. bevételek'!AI231</f>
        <v>1350000</v>
      </c>
      <c r="E15" s="559">
        <f>+'2. bevételek'!AJ231</f>
        <v>1350000</v>
      </c>
      <c r="F15" s="544"/>
      <c r="G15" s="545" t="s">
        <v>111</v>
      </c>
      <c r="H15" s="546" t="s">
        <v>20</v>
      </c>
      <c r="I15" s="559">
        <f>+'3. kiadások'!AI210</f>
        <v>1266025</v>
      </c>
      <c r="J15" s="559">
        <f>+'3. kiadások'!AJ210</f>
        <v>1266025</v>
      </c>
    </row>
    <row r="16" spans="1:11" x14ac:dyDescent="0.25">
      <c r="A16" s="540"/>
      <c r="B16" s="541" t="s">
        <v>112</v>
      </c>
      <c r="C16" s="542" t="s">
        <v>21</v>
      </c>
      <c r="D16" s="543">
        <f>+'2. bevételek'!AI283</f>
        <v>9000</v>
      </c>
      <c r="E16" s="543">
        <f>+'2. bevételek'!AJ283</f>
        <v>9000</v>
      </c>
      <c r="F16" s="544"/>
      <c r="G16" s="545" t="s">
        <v>113</v>
      </c>
      <c r="H16" s="546" t="s">
        <v>22</v>
      </c>
      <c r="I16" s="543">
        <f>+'3. kiadások'!AI272</f>
        <v>219792</v>
      </c>
      <c r="J16" s="543">
        <f>+'3. kiadások'!AJ272</f>
        <v>219792</v>
      </c>
    </row>
    <row r="17" spans="1:11" x14ac:dyDescent="0.25">
      <c r="A17" s="560" t="s">
        <v>114</v>
      </c>
      <c r="B17" s="535"/>
      <c r="C17" s="535"/>
      <c r="D17" s="536">
        <f>SUM(D23:D24,D18)</f>
        <v>11395820.5</v>
      </c>
      <c r="E17" s="536">
        <f>SUM(E23:E24,E18)</f>
        <v>11512674.5</v>
      </c>
      <c r="F17" s="561" t="s">
        <v>115</v>
      </c>
      <c r="G17" s="539"/>
      <c r="H17" s="539"/>
      <c r="I17" s="536">
        <f>SUM(I23:I24,I18)</f>
        <v>5753007</v>
      </c>
      <c r="J17" s="536">
        <f>SUM(J23:J24,J18)</f>
        <v>5869861</v>
      </c>
      <c r="K17" s="564">
        <f>+J17-I17</f>
        <v>116854</v>
      </c>
    </row>
    <row r="18" spans="1:11" x14ac:dyDescent="0.25">
      <c r="A18" s="534"/>
      <c r="B18" s="562" t="s">
        <v>116</v>
      </c>
      <c r="C18" s="542" t="s">
        <v>117</v>
      </c>
      <c r="D18" s="543">
        <f>+'2. bevételek'!AI308</f>
        <v>11395820.5</v>
      </c>
      <c r="E18" s="543">
        <f>+'2. bevételek'!AJ308</f>
        <v>11512674.5</v>
      </c>
      <c r="F18" s="563"/>
      <c r="G18" s="545" t="s">
        <v>118</v>
      </c>
      <c r="H18" s="551" t="s">
        <v>119</v>
      </c>
      <c r="I18" s="543">
        <f>+'3. kiadások'!AI303</f>
        <v>5753007</v>
      </c>
      <c r="J18" s="543">
        <f>+'3. kiadások'!AJ303</f>
        <v>5869861</v>
      </c>
    </row>
    <row r="19" spans="1:11" x14ac:dyDescent="0.25">
      <c r="A19" s="565"/>
      <c r="B19" s="541"/>
      <c r="C19" s="566" t="s">
        <v>123</v>
      </c>
      <c r="D19" s="567">
        <f>+'2. bevételek'!AI301</f>
        <v>4601630.5</v>
      </c>
      <c r="E19" s="567">
        <f>+'2. bevételek'!AJ301</f>
        <v>4601630.5</v>
      </c>
      <c r="F19" s="563"/>
      <c r="G19" s="545"/>
      <c r="H19" s="553" t="s">
        <v>123</v>
      </c>
      <c r="I19" s="567">
        <f>+'3. kiadások'!AI295</f>
        <v>4601631</v>
      </c>
      <c r="J19" s="567">
        <f>+'3. kiadások'!AJ295</f>
        <v>4601631</v>
      </c>
    </row>
    <row r="20" spans="1:11" hidden="1" x14ac:dyDescent="0.25">
      <c r="A20" s="534"/>
      <c r="B20" s="562"/>
      <c r="C20" s="566" t="s">
        <v>120</v>
      </c>
      <c r="D20" s="568">
        <v>0</v>
      </c>
      <c r="E20" s="568">
        <v>0</v>
      </c>
      <c r="F20" s="544"/>
      <c r="G20" s="545"/>
      <c r="H20" s="553" t="s">
        <v>121</v>
      </c>
      <c r="I20" s="568"/>
      <c r="J20" s="568"/>
    </row>
    <row r="21" spans="1:11" x14ac:dyDescent="0.25">
      <c r="A21" s="534"/>
      <c r="B21" s="562"/>
      <c r="C21" s="566" t="s">
        <v>122</v>
      </c>
      <c r="D21" s="568">
        <f>+'2. bevételek'!AI296</f>
        <v>4254190</v>
      </c>
      <c r="E21" s="568">
        <f>+'2. bevételek'!AJ296</f>
        <v>4254190</v>
      </c>
      <c r="F21" s="544"/>
      <c r="G21" s="545"/>
      <c r="H21" s="553" t="s">
        <v>735</v>
      </c>
      <c r="I21" s="568">
        <f>+'3. kiadások'!AI296</f>
        <v>1100000</v>
      </c>
      <c r="J21" s="568">
        <f>+'3. kiadások'!AJ296</f>
        <v>1100000</v>
      </c>
    </row>
    <row r="22" spans="1:11" ht="25.5" x14ac:dyDescent="0.25">
      <c r="A22" s="534"/>
      <c r="B22" s="562"/>
      <c r="C22" s="566" t="s">
        <v>736</v>
      </c>
      <c r="D22" s="568">
        <f>+'2. bevételek'!AI302</f>
        <v>2540000</v>
      </c>
      <c r="E22" s="568">
        <f>+'2. bevételek'!AJ302</f>
        <v>2540000</v>
      </c>
      <c r="F22" s="544"/>
      <c r="G22" s="545"/>
      <c r="H22" s="569" t="s">
        <v>125</v>
      </c>
      <c r="I22" s="568">
        <f>+'3. kiadások'!AI294</f>
        <v>51376</v>
      </c>
      <c r="J22" s="568">
        <f>+'3. kiadások'!AJ294</f>
        <v>168230</v>
      </c>
    </row>
    <row r="23" spans="1:11" hidden="1" x14ac:dyDescent="0.25">
      <c r="A23" s="540"/>
      <c r="B23" s="541" t="s">
        <v>128</v>
      </c>
      <c r="C23" s="542" t="s">
        <v>129</v>
      </c>
      <c r="D23" s="570">
        <v>0</v>
      </c>
      <c r="E23" s="1073"/>
      <c r="F23" s="544"/>
      <c r="G23" s="545" t="s">
        <v>130</v>
      </c>
      <c r="H23" s="551" t="s">
        <v>131</v>
      </c>
      <c r="I23" s="570">
        <v>0</v>
      </c>
      <c r="J23" s="570">
        <v>0</v>
      </c>
    </row>
    <row r="24" spans="1:11" ht="25.5" hidden="1" x14ac:dyDescent="0.25">
      <c r="A24" s="1077"/>
      <c r="B24" s="1078" t="s">
        <v>737</v>
      </c>
      <c r="C24" s="1079" t="s">
        <v>738</v>
      </c>
      <c r="D24" s="1080">
        <v>0</v>
      </c>
      <c r="E24" s="1073"/>
      <c r="F24" s="1081"/>
      <c r="G24" s="1082" t="s">
        <v>739</v>
      </c>
      <c r="H24" s="1083" t="s">
        <v>740</v>
      </c>
      <c r="I24" s="1080">
        <v>0</v>
      </c>
      <c r="J24" s="1080">
        <v>0</v>
      </c>
    </row>
    <row r="25" spans="1:11" ht="25.5" x14ac:dyDescent="0.25">
      <c r="A25" s="1084"/>
      <c r="B25" s="1085"/>
      <c r="C25" s="1086" t="s">
        <v>136</v>
      </c>
      <c r="D25" s="1087">
        <f>D18-D19</f>
        <v>6794190</v>
      </c>
      <c r="E25" s="1087">
        <f>E18-E19</f>
        <v>6911044</v>
      </c>
      <c r="F25" s="1088"/>
      <c r="G25" s="1089"/>
      <c r="H25" s="1086" t="s">
        <v>137</v>
      </c>
      <c r="I25" s="1087">
        <f>I18-I19</f>
        <v>1151376</v>
      </c>
      <c r="J25" s="1087">
        <f>J18-J19</f>
        <v>1268230</v>
      </c>
    </row>
    <row r="26" spans="1:11" ht="15.75" x14ac:dyDescent="0.25">
      <c r="A26" s="1090" t="s">
        <v>138</v>
      </c>
      <c r="B26" s="1091"/>
      <c r="C26" s="1092"/>
      <c r="D26" s="1093">
        <f>D4+D17</f>
        <v>21209668.5</v>
      </c>
      <c r="E26" s="1093">
        <f>E4+E17</f>
        <v>21348838.5</v>
      </c>
      <c r="F26" s="1094" t="s">
        <v>139</v>
      </c>
      <c r="G26" s="1095"/>
      <c r="H26" s="1096"/>
      <c r="I26" s="1093">
        <f>I4+I17</f>
        <v>21209669</v>
      </c>
      <c r="J26" s="1093">
        <f>J4+J17</f>
        <v>21348839</v>
      </c>
    </row>
    <row r="27" spans="1:11" x14ac:dyDescent="0.25">
      <c r="A27" s="1151" t="s">
        <v>140</v>
      </c>
      <c r="B27" s="1152"/>
      <c r="C27" s="1152"/>
      <c r="D27" s="543">
        <f>D19*-1</f>
        <v>-4601630.5</v>
      </c>
      <c r="E27" s="543">
        <f>E19*-1</f>
        <v>-4601630.5</v>
      </c>
      <c r="F27" s="1153" t="s">
        <v>141</v>
      </c>
      <c r="G27" s="1154"/>
      <c r="H27" s="1154"/>
      <c r="I27" s="543">
        <f>I19*-1</f>
        <v>-4601631</v>
      </c>
      <c r="J27" s="543">
        <f>J19*-1</f>
        <v>-4601631</v>
      </c>
    </row>
    <row r="28" spans="1:11" ht="16.5" thickBot="1" x14ac:dyDescent="0.3">
      <c r="A28" s="1139" t="s">
        <v>142</v>
      </c>
      <c r="B28" s="1140"/>
      <c r="C28" s="1140"/>
      <c r="D28" s="573">
        <f>D26+D27</f>
        <v>16608038</v>
      </c>
      <c r="E28" s="573">
        <f>E26+E27</f>
        <v>16747208</v>
      </c>
      <c r="F28" s="1141" t="s">
        <v>143</v>
      </c>
      <c r="G28" s="1142"/>
      <c r="H28" s="1142"/>
      <c r="I28" s="573">
        <f>I26+I27</f>
        <v>16608038</v>
      </c>
      <c r="J28" s="573">
        <f>J26+J27</f>
        <v>16747208</v>
      </c>
      <c r="K28" s="564">
        <f>+J28-I28</f>
        <v>139170</v>
      </c>
    </row>
    <row r="29" spans="1:11" x14ac:dyDescent="0.25">
      <c r="A29" s="574" t="s">
        <v>144</v>
      </c>
      <c r="B29" s="575"/>
      <c r="C29" s="574"/>
      <c r="D29" s="576"/>
      <c r="E29" s="1074"/>
      <c r="F29" s="1143"/>
      <c r="G29" s="1144"/>
      <c r="H29" s="1144"/>
      <c r="I29" s="1144"/>
      <c r="J29" s="1144"/>
    </row>
    <row r="30" spans="1:11" x14ac:dyDescent="0.25">
      <c r="A30" s="577" t="s">
        <v>145</v>
      </c>
      <c r="B30" s="578"/>
      <c r="C30" s="577"/>
      <c r="D30" s="543">
        <f>+D4-I4</f>
        <v>-5642814</v>
      </c>
      <c r="E30" s="543">
        <f>+E4-J4</f>
        <v>-5642814</v>
      </c>
      <c r="F30" s="1145"/>
      <c r="G30" s="1146"/>
      <c r="H30" s="1146"/>
      <c r="I30" s="1146"/>
      <c r="J30" s="1146"/>
    </row>
    <row r="31" spans="1:11" x14ac:dyDescent="0.25">
      <c r="A31" s="579"/>
      <c r="B31" s="580" t="s">
        <v>146</v>
      </c>
      <c r="C31" s="581"/>
      <c r="D31" s="543">
        <f>+D5-I5</f>
        <v>-4596403</v>
      </c>
      <c r="E31" s="543">
        <f>+E5-J5</f>
        <v>-4592203</v>
      </c>
      <c r="F31" s="1145"/>
      <c r="G31" s="1146"/>
      <c r="H31" s="1146"/>
      <c r="I31" s="1146"/>
      <c r="J31" s="1146"/>
    </row>
    <row r="32" spans="1:11" x14ac:dyDescent="0.25">
      <c r="A32" s="579"/>
      <c r="B32" s="580" t="s">
        <v>147</v>
      </c>
      <c r="C32" s="581"/>
      <c r="D32" s="543">
        <f>+D13-I13</f>
        <v>-1046411</v>
      </c>
      <c r="E32" s="543">
        <f>+E13-J13</f>
        <v>-1050611</v>
      </c>
      <c r="F32" s="1145"/>
      <c r="G32" s="1146"/>
      <c r="H32" s="1146"/>
      <c r="I32" s="1146"/>
      <c r="J32" s="1146"/>
    </row>
    <row r="33" spans="1:11" x14ac:dyDescent="0.25">
      <c r="A33" s="577" t="s">
        <v>148</v>
      </c>
      <c r="B33" s="578"/>
      <c r="C33" s="577"/>
      <c r="D33" s="543">
        <f>+D17-I17</f>
        <v>5642813.5</v>
      </c>
      <c r="E33" s="543">
        <f>+E17-J17</f>
        <v>5642813.5</v>
      </c>
      <c r="F33" s="1145"/>
      <c r="G33" s="1146"/>
      <c r="H33" s="1146"/>
      <c r="I33" s="1146"/>
      <c r="J33" s="1146"/>
    </row>
    <row r="34" spans="1:11" ht="15.75" thickBot="1" x14ac:dyDescent="0.3">
      <c r="A34" s="582" t="s">
        <v>149</v>
      </c>
      <c r="B34" s="583"/>
      <c r="C34" s="584"/>
      <c r="D34" s="585">
        <v>0</v>
      </c>
      <c r="E34" s="585">
        <v>0</v>
      </c>
      <c r="F34" s="1145"/>
      <c r="G34" s="1146"/>
      <c r="H34" s="1146"/>
      <c r="I34" s="1146"/>
      <c r="J34" s="1146"/>
      <c r="K34" s="564"/>
    </row>
    <row r="35" spans="1:11" ht="36.75" customHeight="1" thickBot="1" x14ac:dyDescent="0.3">
      <c r="A35" s="1147" t="s">
        <v>741</v>
      </c>
      <c r="B35" s="1148"/>
      <c r="C35" s="1148"/>
      <c r="D35" s="1148"/>
      <c r="E35" s="1148"/>
      <c r="F35" s="1148"/>
      <c r="G35" s="1148"/>
      <c r="H35" s="1148"/>
      <c r="I35" s="1148"/>
      <c r="J35" s="1148"/>
    </row>
    <row r="36" spans="1:11" ht="38.25" x14ac:dyDescent="0.25">
      <c r="A36" s="1135" t="s">
        <v>88</v>
      </c>
      <c r="B36" s="1136"/>
      <c r="C36" s="1136"/>
      <c r="D36" s="532" t="s">
        <v>92</v>
      </c>
      <c r="E36" s="532" t="s">
        <v>1510</v>
      </c>
      <c r="F36" s="1137" t="s">
        <v>93</v>
      </c>
      <c r="G36" s="1138"/>
      <c r="H36" s="1138"/>
      <c r="I36" s="532" t="s">
        <v>92</v>
      </c>
      <c r="J36" s="532" t="s">
        <v>1510</v>
      </c>
    </row>
    <row r="37" spans="1:11" x14ac:dyDescent="0.25">
      <c r="A37" s="560" t="s">
        <v>94</v>
      </c>
      <c r="B37" s="586"/>
      <c r="C37" s="587"/>
      <c r="D37" s="588">
        <f>D38+D46</f>
        <v>7609067</v>
      </c>
      <c r="E37" s="588">
        <f>E38+E46</f>
        <v>7631383</v>
      </c>
      <c r="F37" s="561" t="s">
        <v>95</v>
      </c>
      <c r="G37" s="589"/>
      <c r="H37" s="590"/>
      <c r="I37" s="588">
        <f>I38+I46</f>
        <v>6934860</v>
      </c>
      <c r="J37" s="588">
        <f>J38+J46</f>
        <v>6957176</v>
      </c>
    </row>
    <row r="38" spans="1:11" x14ac:dyDescent="0.25">
      <c r="A38" s="591"/>
      <c r="B38" s="586" t="s">
        <v>10</v>
      </c>
      <c r="C38" s="587"/>
      <c r="D38" s="588">
        <f>SUM(D39:D42)</f>
        <v>6162603</v>
      </c>
      <c r="E38" s="588">
        <f>SUM(E39:E42)</f>
        <v>6184919</v>
      </c>
      <c r="F38" s="592"/>
      <c r="G38" s="589" t="s">
        <v>96</v>
      </c>
      <c r="H38" s="590"/>
      <c r="I38" s="588">
        <f>SUM(I39:I43)</f>
        <v>5423632</v>
      </c>
      <c r="J38" s="588">
        <f>SUM(J39:J43)</f>
        <v>5441748</v>
      </c>
    </row>
    <row r="39" spans="1:11" x14ac:dyDescent="0.25">
      <c r="A39" s="593"/>
      <c r="B39" s="594" t="s">
        <v>97</v>
      </c>
      <c r="C39" s="595" t="s">
        <v>5</v>
      </c>
      <c r="D39" s="596">
        <f>+'2. bevételek'!C11</f>
        <v>1442617</v>
      </c>
      <c r="E39" s="596">
        <f>+'2. bevételek'!D11</f>
        <v>1464933</v>
      </c>
      <c r="F39" s="597"/>
      <c r="G39" s="598" t="s">
        <v>98</v>
      </c>
      <c r="H39" s="599" t="s">
        <v>6</v>
      </c>
      <c r="I39" s="596">
        <f>+'3. kiadások'!C22</f>
        <v>205379</v>
      </c>
      <c r="J39" s="596">
        <f>+'3. kiadások'!D22</f>
        <v>205379</v>
      </c>
    </row>
    <row r="40" spans="1:11" x14ac:dyDescent="0.25">
      <c r="A40" s="593"/>
      <c r="B40" s="594" t="s">
        <v>99</v>
      </c>
      <c r="C40" s="595" t="s">
        <v>8</v>
      </c>
      <c r="D40" s="596">
        <f>+'2. bevételek'!C186</f>
        <v>2991479</v>
      </c>
      <c r="E40" s="596">
        <f>+'2. bevételek'!D186</f>
        <v>2991479</v>
      </c>
      <c r="F40" s="597"/>
      <c r="G40" s="598" t="s">
        <v>100</v>
      </c>
      <c r="H40" s="599" t="s">
        <v>732</v>
      </c>
      <c r="I40" s="596">
        <f>+'3. kiadások'!C23</f>
        <v>30710</v>
      </c>
      <c r="J40" s="596">
        <f>+'3. kiadások'!D23</f>
        <v>30710</v>
      </c>
    </row>
    <row r="41" spans="1:11" x14ac:dyDescent="0.25">
      <c r="A41" s="593"/>
      <c r="B41" s="594" t="s">
        <v>102</v>
      </c>
      <c r="C41" s="595" t="s">
        <v>10</v>
      </c>
      <c r="D41" s="596">
        <f>+'2. bevételek'!C222</f>
        <v>1728507</v>
      </c>
      <c r="E41" s="596">
        <f>+'2. bevételek'!D222</f>
        <v>1728507</v>
      </c>
      <c r="F41" s="597"/>
      <c r="G41" s="598" t="s">
        <v>103</v>
      </c>
      <c r="H41" s="599" t="s">
        <v>11</v>
      </c>
      <c r="I41" s="596">
        <f>+'3. kiadások'!C59</f>
        <v>2180129</v>
      </c>
      <c r="J41" s="596">
        <f>+'3. kiadások'!D59</f>
        <v>2245322</v>
      </c>
    </row>
    <row r="42" spans="1:11" x14ac:dyDescent="0.25">
      <c r="A42" s="593"/>
      <c r="B42" s="594" t="s">
        <v>104</v>
      </c>
      <c r="C42" s="595" t="s">
        <v>13</v>
      </c>
      <c r="D42" s="596">
        <f>+'2. bevételek'!C257</f>
        <v>0</v>
      </c>
      <c r="E42" s="596">
        <f>+'2. bevételek'!D257</f>
        <v>0</v>
      </c>
      <c r="F42" s="597"/>
      <c r="G42" s="598" t="s">
        <v>105</v>
      </c>
      <c r="H42" s="599" t="s">
        <v>14</v>
      </c>
      <c r="I42" s="596">
        <f>+'3. kiadások'!C123</f>
        <v>186500</v>
      </c>
      <c r="J42" s="596">
        <f>+'3. kiadások'!D123</f>
        <v>186500</v>
      </c>
    </row>
    <row r="43" spans="1:11" x14ac:dyDescent="0.25">
      <c r="A43" s="600"/>
      <c r="B43" s="601"/>
      <c r="C43" s="602"/>
      <c r="D43" s="603"/>
      <c r="E43" s="1075"/>
      <c r="F43" s="597"/>
      <c r="G43" s="598" t="s">
        <v>106</v>
      </c>
      <c r="H43" s="604" t="s">
        <v>16</v>
      </c>
      <c r="I43" s="596">
        <f>+'3. kiadások'!C195</f>
        <v>2820914</v>
      </c>
      <c r="J43" s="596">
        <f>+'3. kiadások'!D195</f>
        <v>2773837</v>
      </c>
    </row>
    <row r="44" spans="1:11" x14ac:dyDescent="0.25">
      <c r="A44" s="605"/>
      <c r="B44" s="606"/>
      <c r="C44" s="607"/>
      <c r="D44" s="608"/>
      <c r="E44" s="1076"/>
      <c r="F44" s="597"/>
      <c r="G44" s="609"/>
      <c r="H44" s="610" t="s">
        <v>733</v>
      </c>
      <c r="I44" s="619">
        <f>+'3. kiadások'!C193</f>
        <v>140000</v>
      </c>
      <c r="J44" s="619">
        <f>+'3. kiadások'!D193</f>
        <v>94792</v>
      </c>
    </row>
    <row r="45" spans="1:11" x14ac:dyDescent="0.25">
      <c r="A45" s="605"/>
      <c r="B45" s="606"/>
      <c r="C45" s="607"/>
      <c r="D45" s="608"/>
      <c r="E45" s="1076"/>
      <c r="F45" s="611"/>
      <c r="G45" s="598"/>
      <c r="H45" s="553" t="s">
        <v>734</v>
      </c>
      <c r="I45" s="619">
        <f>+'3. kiadások'!C194</f>
        <v>1325754</v>
      </c>
      <c r="J45" s="619">
        <f>+'3. kiadások'!D194</f>
        <v>1261454</v>
      </c>
    </row>
    <row r="46" spans="1:11" x14ac:dyDescent="0.25">
      <c r="A46" s="554"/>
      <c r="B46" s="586" t="s">
        <v>19</v>
      </c>
      <c r="C46" s="612"/>
      <c r="D46" s="613">
        <f>SUM(D47:D49)</f>
        <v>1446464</v>
      </c>
      <c r="E46" s="613">
        <f>SUM(E47:E49)</f>
        <v>1446464</v>
      </c>
      <c r="F46" s="592"/>
      <c r="G46" s="589" t="s">
        <v>107</v>
      </c>
      <c r="H46" s="590"/>
      <c r="I46" s="613">
        <f>SUM(I47:I49)</f>
        <v>1511228</v>
      </c>
      <c r="J46" s="613">
        <f>SUM(J47:J49)</f>
        <v>1515428</v>
      </c>
    </row>
    <row r="47" spans="1:11" x14ac:dyDescent="0.25">
      <c r="A47" s="560"/>
      <c r="B47" s="594" t="s">
        <v>108</v>
      </c>
      <c r="C47" s="612" t="s">
        <v>17</v>
      </c>
      <c r="D47" s="614">
        <f>+'2. bevételek'!C83</f>
        <v>87464</v>
      </c>
      <c r="E47" s="614">
        <f>+'2. bevételek'!D83</f>
        <v>87464</v>
      </c>
      <c r="F47" s="597"/>
      <c r="G47" s="598" t="s">
        <v>109</v>
      </c>
      <c r="H47" s="599" t="s">
        <v>18</v>
      </c>
      <c r="I47" s="614">
        <f>+'3. kiadások'!C205</f>
        <v>701034</v>
      </c>
      <c r="J47" s="614">
        <f>+'3. kiadások'!D205</f>
        <v>705234</v>
      </c>
    </row>
    <row r="48" spans="1:11" x14ac:dyDescent="0.25">
      <c r="A48" s="560"/>
      <c r="B48" s="615" t="s">
        <v>110</v>
      </c>
      <c r="C48" s="595" t="s">
        <v>19</v>
      </c>
      <c r="D48" s="614">
        <f>+'2. bevételek'!C231</f>
        <v>1350000</v>
      </c>
      <c r="E48" s="614">
        <f>+'2. bevételek'!D231</f>
        <v>1350000</v>
      </c>
      <c r="F48" s="597"/>
      <c r="G48" s="598" t="s">
        <v>111</v>
      </c>
      <c r="H48" s="599" t="s">
        <v>20</v>
      </c>
      <c r="I48" s="614">
        <f>+'3. kiadások'!C210</f>
        <v>590402</v>
      </c>
      <c r="J48" s="614">
        <f>+'3. kiadások'!D210</f>
        <v>590402</v>
      </c>
    </row>
    <row r="49" spans="1:11" x14ac:dyDescent="0.25">
      <c r="A49" s="560"/>
      <c r="B49" s="615" t="s">
        <v>112</v>
      </c>
      <c r="C49" s="616" t="s">
        <v>21</v>
      </c>
      <c r="D49" s="614">
        <f>+'2. bevételek'!C283</f>
        <v>9000</v>
      </c>
      <c r="E49" s="614">
        <f>+'2. bevételek'!D283</f>
        <v>9000</v>
      </c>
      <c r="F49" s="597"/>
      <c r="G49" s="598" t="s">
        <v>113</v>
      </c>
      <c r="H49" s="599" t="s">
        <v>22</v>
      </c>
      <c r="I49" s="614">
        <f>+'3. kiadások'!C272</f>
        <v>219792</v>
      </c>
      <c r="J49" s="614">
        <f>+'3. kiadások'!D272</f>
        <v>219792</v>
      </c>
    </row>
    <row r="50" spans="1:11" x14ac:dyDescent="0.25">
      <c r="A50" s="560" t="s">
        <v>114</v>
      </c>
      <c r="B50" s="617"/>
      <c r="C50" s="535"/>
      <c r="D50" s="613">
        <f>SUM(D54:D56,D51)</f>
        <v>5078800</v>
      </c>
      <c r="E50" s="613">
        <f>SUM(E54:E56,E51)</f>
        <v>5078800</v>
      </c>
      <c r="F50" s="561" t="s">
        <v>115</v>
      </c>
      <c r="G50" s="589"/>
      <c r="H50" s="590"/>
      <c r="I50" s="613">
        <f>SUM(I54:I56,I51)</f>
        <v>5753007</v>
      </c>
      <c r="J50" s="613">
        <f>SUM(J54:J56,J51)</f>
        <v>5869861</v>
      </c>
    </row>
    <row r="51" spans="1:11" x14ac:dyDescent="0.25">
      <c r="A51" s="560"/>
      <c r="B51" s="615" t="s">
        <v>116</v>
      </c>
      <c r="C51" s="595" t="s">
        <v>117</v>
      </c>
      <c r="D51" s="614">
        <f>+D53+D52</f>
        <v>5078800</v>
      </c>
      <c r="E51" s="614">
        <f>+E53+E52</f>
        <v>5078800</v>
      </c>
      <c r="F51" s="561"/>
      <c r="G51" s="598" t="s">
        <v>118</v>
      </c>
      <c r="H51" s="618" t="s">
        <v>119</v>
      </c>
      <c r="I51" s="614">
        <f>+'3. kiadások'!C314</f>
        <v>5753007</v>
      </c>
      <c r="J51" s="614">
        <f>+'3. kiadások'!D314</f>
        <v>5869861</v>
      </c>
    </row>
    <row r="52" spans="1:11" x14ac:dyDescent="0.25">
      <c r="A52" s="565"/>
      <c r="B52" s="594"/>
      <c r="C52" s="566" t="s">
        <v>736</v>
      </c>
      <c r="D52" s="619">
        <f>+'2. bevételek'!C302</f>
        <v>2540000</v>
      </c>
      <c r="E52" s="619">
        <f>+'2. bevételek'!D302</f>
        <v>2540000</v>
      </c>
      <c r="F52" s="561"/>
      <c r="G52" s="598"/>
      <c r="H52" s="553" t="s">
        <v>735</v>
      </c>
      <c r="I52" s="619">
        <f>+'3. kiadások'!C296</f>
        <v>1100000</v>
      </c>
      <c r="J52" s="619">
        <f>+'3. kiadások'!D296</f>
        <v>1100000</v>
      </c>
    </row>
    <row r="53" spans="1:11" x14ac:dyDescent="0.25">
      <c r="A53" s="565"/>
      <c r="B53" s="594"/>
      <c r="C53" s="621" t="s">
        <v>122</v>
      </c>
      <c r="D53" s="619">
        <f>+'2. bevételek'!C296</f>
        <v>2538800</v>
      </c>
      <c r="E53" s="619">
        <f>+'2. bevételek'!D296</f>
        <v>2538800</v>
      </c>
      <c r="F53" s="597"/>
      <c r="G53" s="598"/>
      <c r="H53" s="620" t="s">
        <v>123</v>
      </c>
      <c r="I53" s="619">
        <f>+'3. kiadások'!C295</f>
        <v>4601631</v>
      </c>
      <c r="J53" s="619">
        <f>+'3. kiadások'!D295</f>
        <v>4601631</v>
      </c>
    </row>
    <row r="54" spans="1:11" hidden="1" x14ac:dyDescent="0.25">
      <c r="A54" s="565"/>
      <c r="B54" s="594" t="s">
        <v>128</v>
      </c>
      <c r="C54" s="555" t="s">
        <v>129</v>
      </c>
      <c r="D54" s="622">
        <v>0</v>
      </c>
      <c r="E54" s="622">
        <v>0</v>
      </c>
      <c r="F54" s="597"/>
      <c r="G54" s="598" t="s">
        <v>130</v>
      </c>
      <c r="H54" s="618" t="s">
        <v>131</v>
      </c>
      <c r="I54" s="622">
        <v>0</v>
      </c>
      <c r="J54" s="622">
        <v>0</v>
      </c>
    </row>
    <row r="55" spans="1:11" ht="26.25" hidden="1" x14ac:dyDescent="0.25">
      <c r="A55" s="565"/>
      <c r="B55" s="594" t="s">
        <v>737</v>
      </c>
      <c r="C55" s="571" t="s">
        <v>738</v>
      </c>
      <c r="D55" s="622"/>
      <c r="E55" s="622"/>
      <c r="F55" s="597"/>
      <c r="G55" s="598" t="s">
        <v>739</v>
      </c>
      <c r="H55" s="623" t="s">
        <v>740</v>
      </c>
      <c r="I55" s="622"/>
      <c r="J55" s="622"/>
    </row>
    <row r="56" spans="1:11" hidden="1" x14ac:dyDescent="0.25">
      <c r="A56" s="565"/>
      <c r="B56" s="594" t="s">
        <v>132</v>
      </c>
      <c r="C56" s="555" t="s">
        <v>133</v>
      </c>
      <c r="D56" s="622"/>
      <c r="E56" s="622"/>
      <c r="F56" s="597"/>
      <c r="G56" s="598" t="s">
        <v>134</v>
      </c>
      <c r="H56" s="624" t="s">
        <v>135</v>
      </c>
      <c r="I56" s="622"/>
      <c r="J56" s="622"/>
    </row>
    <row r="57" spans="1:11" ht="16.5" thickBot="1" x14ac:dyDescent="0.3">
      <c r="A57" s="625" t="s">
        <v>138</v>
      </c>
      <c r="B57" s="626"/>
      <c r="C57" s="627"/>
      <c r="D57" s="573">
        <f>D37+D50</f>
        <v>12687867</v>
      </c>
      <c r="E57" s="573">
        <f>E37+E50</f>
        <v>12710183</v>
      </c>
      <c r="F57" s="628" t="s">
        <v>139</v>
      </c>
      <c r="G57" s="629"/>
      <c r="H57" s="630"/>
      <c r="I57" s="573">
        <f>I37+I50</f>
        <v>12687867</v>
      </c>
      <c r="J57" s="573">
        <f>J37+J50</f>
        <v>12827037</v>
      </c>
      <c r="K57" s="564">
        <f>+J57-I57</f>
        <v>139170</v>
      </c>
    </row>
    <row r="58" spans="1:11" ht="35.25" customHeight="1" thickBot="1" x14ac:dyDescent="0.3">
      <c r="A58" s="1149" t="s">
        <v>742</v>
      </c>
      <c r="B58" s="1150"/>
      <c r="C58" s="1150"/>
      <c r="D58" s="1150"/>
      <c r="E58" s="1150"/>
      <c r="F58" s="1150"/>
      <c r="G58" s="1150"/>
      <c r="H58" s="1150"/>
      <c r="I58" s="1150"/>
      <c r="J58" s="1150"/>
    </row>
    <row r="59" spans="1:11" ht="38.25" x14ac:dyDescent="0.25">
      <c r="A59" s="1135" t="s">
        <v>88</v>
      </c>
      <c r="B59" s="1136"/>
      <c r="C59" s="1136"/>
      <c r="D59" s="532" t="s">
        <v>92</v>
      </c>
      <c r="E59" s="532" t="s">
        <v>1510</v>
      </c>
      <c r="F59" s="1137" t="s">
        <v>93</v>
      </c>
      <c r="G59" s="1138"/>
      <c r="H59" s="1138"/>
      <c r="I59" s="532" t="s">
        <v>92</v>
      </c>
      <c r="J59" s="532" t="s">
        <v>1510</v>
      </c>
    </row>
    <row r="60" spans="1:11" x14ac:dyDescent="0.25">
      <c r="A60" s="560" t="s">
        <v>94</v>
      </c>
      <c r="B60" s="586"/>
      <c r="C60" s="587"/>
      <c r="D60" s="588">
        <f>D61+D69</f>
        <v>2204781</v>
      </c>
      <c r="E60" s="588">
        <f>E61+E69</f>
        <v>2204781</v>
      </c>
      <c r="F60" s="561" t="s">
        <v>95</v>
      </c>
      <c r="G60" s="589"/>
      <c r="H60" s="590"/>
      <c r="I60" s="588">
        <f>I61+I69</f>
        <v>8521802</v>
      </c>
      <c r="J60" s="588">
        <f>J61+J69</f>
        <v>8521802</v>
      </c>
    </row>
    <row r="61" spans="1:11" x14ac:dyDescent="0.25">
      <c r="A61" s="591"/>
      <c r="B61" s="586" t="s">
        <v>10</v>
      </c>
      <c r="C61" s="587"/>
      <c r="D61" s="588">
        <f>SUM(D62:D65)</f>
        <v>2204781</v>
      </c>
      <c r="E61" s="588">
        <f>SUM(E62:E65)</f>
        <v>2204781</v>
      </c>
      <c r="F61" s="592"/>
      <c r="G61" s="589" t="s">
        <v>96</v>
      </c>
      <c r="H61" s="590"/>
      <c r="I61" s="588">
        <f>SUM(I62:I66)</f>
        <v>7540155</v>
      </c>
      <c r="J61" s="588">
        <f>SUM(J62:J66)</f>
        <v>7540155</v>
      </c>
    </row>
    <row r="62" spans="1:11" x14ac:dyDescent="0.25">
      <c r="A62" s="593"/>
      <c r="B62" s="594" t="s">
        <v>97</v>
      </c>
      <c r="C62" s="595" t="s">
        <v>5</v>
      </c>
      <c r="D62" s="596">
        <f>+D6-D39</f>
        <v>865000</v>
      </c>
      <c r="E62" s="596">
        <f>+E6-E39</f>
        <v>865000</v>
      </c>
      <c r="F62" s="597"/>
      <c r="G62" s="598" t="s">
        <v>98</v>
      </c>
      <c r="H62" s="599" t="s">
        <v>6</v>
      </c>
      <c r="I62" s="596">
        <f>+I6-I39-1</f>
        <v>3686182</v>
      </c>
      <c r="J62" s="596">
        <f>+J6-J39</f>
        <v>3686183</v>
      </c>
    </row>
    <row r="63" spans="1:11" x14ac:dyDescent="0.25">
      <c r="A63" s="593"/>
      <c r="B63" s="594" t="s">
        <v>99</v>
      </c>
      <c r="C63" s="595" t="s">
        <v>8</v>
      </c>
      <c r="D63" s="596">
        <f t="shared" ref="D63:E65" si="0">+D7-D40</f>
        <v>0</v>
      </c>
      <c r="E63" s="596">
        <f t="shared" si="0"/>
        <v>0</v>
      </c>
      <c r="F63" s="597"/>
      <c r="G63" s="598" t="s">
        <v>100</v>
      </c>
      <c r="H63" s="599" t="s">
        <v>732</v>
      </c>
      <c r="I63" s="596">
        <f t="shared" ref="I63:J66" si="1">+I7-I40</f>
        <v>533535</v>
      </c>
      <c r="J63" s="596">
        <f t="shared" si="1"/>
        <v>533535</v>
      </c>
    </row>
    <row r="64" spans="1:11" x14ac:dyDescent="0.25">
      <c r="A64" s="593"/>
      <c r="B64" s="594" t="s">
        <v>102</v>
      </c>
      <c r="C64" s="595" t="s">
        <v>10</v>
      </c>
      <c r="D64" s="596">
        <f t="shared" si="0"/>
        <v>1339781</v>
      </c>
      <c r="E64" s="596">
        <f t="shared" si="0"/>
        <v>1339781</v>
      </c>
      <c r="F64" s="597"/>
      <c r="G64" s="598" t="s">
        <v>103</v>
      </c>
      <c r="H64" s="599" t="s">
        <v>11</v>
      </c>
      <c r="I64" s="596">
        <f t="shared" si="1"/>
        <v>3320438</v>
      </c>
      <c r="J64" s="596">
        <f t="shared" si="1"/>
        <v>3320437</v>
      </c>
    </row>
    <row r="65" spans="1:11" x14ac:dyDescent="0.25">
      <c r="A65" s="631"/>
      <c r="B65" s="632" t="s">
        <v>104</v>
      </c>
      <c r="C65" s="633" t="s">
        <v>13</v>
      </c>
      <c r="D65" s="596">
        <f t="shared" si="0"/>
        <v>0</v>
      </c>
      <c r="E65" s="596">
        <f t="shared" si="0"/>
        <v>0</v>
      </c>
      <c r="F65" s="597"/>
      <c r="G65" s="598" t="s">
        <v>105</v>
      </c>
      <c r="H65" s="599" t="s">
        <v>14</v>
      </c>
      <c r="I65" s="596">
        <f t="shared" si="1"/>
        <v>0</v>
      </c>
      <c r="J65" s="596">
        <f t="shared" si="1"/>
        <v>0</v>
      </c>
    </row>
    <row r="66" spans="1:11" x14ac:dyDescent="0.25">
      <c r="A66" s="600"/>
      <c r="B66" s="601"/>
      <c r="C66" s="602"/>
      <c r="D66" s="603"/>
      <c r="E66" s="1075"/>
      <c r="F66" s="597"/>
      <c r="G66" s="598" t="s">
        <v>106</v>
      </c>
      <c r="H66" s="604" t="s">
        <v>16</v>
      </c>
      <c r="I66" s="596">
        <f t="shared" si="1"/>
        <v>0</v>
      </c>
      <c r="J66" s="596">
        <f t="shared" si="1"/>
        <v>0</v>
      </c>
    </row>
    <row r="67" spans="1:11" x14ac:dyDescent="0.25">
      <c r="A67" s="605"/>
      <c r="B67" s="606"/>
      <c r="C67" s="607"/>
      <c r="D67" s="608"/>
      <c r="E67" s="1076"/>
      <c r="F67" s="597"/>
      <c r="G67" s="609"/>
      <c r="H67" s="610" t="s">
        <v>733</v>
      </c>
      <c r="I67" s="619">
        <v>0</v>
      </c>
      <c r="J67" s="619">
        <v>0</v>
      </c>
    </row>
    <row r="68" spans="1:11" x14ac:dyDescent="0.25">
      <c r="A68" s="605"/>
      <c r="B68" s="634"/>
      <c r="C68" s="607"/>
      <c r="D68" s="608"/>
      <c r="E68" s="1076"/>
      <c r="F68" s="611"/>
      <c r="G68" s="598"/>
      <c r="H68" s="553" t="s">
        <v>734</v>
      </c>
      <c r="I68" s="619">
        <v>0</v>
      </c>
      <c r="J68" s="619">
        <v>0</v>
      </c>
    </row>
    <row r="69" spans="1:11" x14ac:dyDescent="0.25">
      <c r="A69" s="554"/>
      <c r="B69" s="586" t="s">
        <v>19</v>
      </c>
      <c r="C69" s="635"/>
      <c r="D69" s="636">
        <f>SUM(D70:D72)</f>
        <v>0</v>
      </c>
      <c r="E69" s="636">
        <f>SUM(E70:E72)</f>
        <v>0</v>
      </c>
      <c r="F69" s="592"/>
      <c r="G69" s="589" t="s">
        <v>107</v>
      </c>
      <c r="H69" s="590"/>
      <c r="I69" s="636">
        <f>SUM(I70:I72)</f>
        <v>981647</v>
      </c>
      <c r="J69" s="636">
        <f>SUM(J70:J72)</f>
        <v>981647</v>
      </c>
    </row>
    <row r="70" spans="1:11" x14ac:dyDescent="0.25">
      <c r="A70" s="593"/>
      <c r="B70" s="637" t="s">
        <v>108</v>
      </c>
      <c r="C70" s="612" t="s">
        <v>17</v>
      </c>
      <c r="D70" s="614">
        <f>+D14-D47</f>
        <v>0</v>
      </c>
      <c r="E70" s="614">
        <f>+E14-E47</f>
        <v>0</v>
      </c>
      <c r="F70" s="597"/>
      <c r="G70" s="598" t="s">
        <v>109</v>
      </c>
      <c r="H70" s="599" t="s">
        <v>18</v>
      </c>
      <c r="I70" s="614">
        <f>+I14-I47</f>
        <v>306024</v>
      </c>
      <c r="J70" s="614">
        <f>+J14-J47</f>
        <v>306024</v>
      </c>
    </row>
    <row r="71" spans="1:11" x14ac:dyDescent="0.25">
      <c r="A71" s="560"/>
      <c r="B71" s="615" t="s">
        <v>110</v>
      </c>
      <c r="C71" s="595" t="s">
        <v>19</v>
      </c>
      <c r="D71" s="614">
        <f t="shared" ref="D71:E72" si="2">+D15-D48</f>
        <v>0</v>
      </c>
      <c r="E71" s="614">
        <f t="shared" si="2"/>
        <v>0</v>
      </c>
      <c r="F71" s="597"/>
      <c r="G71" s="598" t="s">
        <v>111</v>
      </c>
      <c r="H71" s="599" t="s">
        <v>20</v>
      </c>
      <c r="I71" s="614">
        <f t="shared" ref="I71:J72" si="3">+I15-I48</f>
        <v>675623</v>
      </c>
      <c r="J71" s="614">
        <f t="shared" si="3"/>
        <v>675623</v>
      </c>
    </row>
    <row r="72" spans="1:11" x14ac:dyDescent="0.25">
      <c r="A72" s="560"/>
      <c r="B72" s="615" t="s">
        <v>112</v>
      </c>
      <c r="C72" s="616" t="s">
        <v>21</v>
      </c>
      <c r="D72" s="614">
        <f t="shared" si="2"/>
        <v>0</v>
      </c>
      <c r="E72" s="614">
        <f t="shared" si="2"/>
        <v>0</v>
      </c>
      <c r="F72" s="597"/>
      <c r="G72" s="598" t="s">
        <v>113</v>
      </c>
      <c r="H72" s="599" t="s">
        <v>22</v>
      </c>
      <c r="I72" s="614">
        <f t="shared" si="3"/>
        <v>0</v>
      </c>
      <c r="J72" s="614">
        <f t="shared" si="3"/>
        <v>0</v>
      </c>
    </row>
    <row r="73" spans="1:11" x14ac:dyDescent="0.25">
      <c r="A73" s="560" t="s">
        <v>114</v>
      </c>
      <c r="B73" s="617"/>
      <c r="C73" s="535"/>
      <c r="D73" s="613">
        <f>SUM(D77:D78,D74)</f>
        <v>6317020.5</v>
      </c>
      <c r="E73" s="613">
        <f>SUM(E77:E78,E74)</f>
        <v>6433874.5</v>
      </c>
      <c r="F73" s="561" t="s">
        <v>115</v>
      </c>
      <c r="G73" s="589"/>
      <c r="H73" s="590"/>
      <c r="I73" s="613">
        <f>SUM(I77:I78,I74)</f>
        <v>0</v>
      </c>
      <c r="J73" s="613">
        <f>SUM(J77:J78,J74)</f>
        <v>0</v>
      </c>
    </row>
    <row r="74" spans="1:11" x14ac:dyDescent="0.25">
      <c r="A74" s="560"/>
      <c r="B74" s="615" t="s">
        <v>116</v>
      </c>
      <c r="C74" s="595" t="s">
        <v>117</v>
      </c>
      <c r="D74" s="596">
        <f>+D18-D51</f>
        <v>6317020.5</v>
      </c>
      <c r="E74" s="596">
        <f>+E18-E51</f>
        <v>6433874.5</v>
      </c>
      <c r="F74" s="561"/>
      <c r="G74" s="598" t="s">
        <v>118</v>
      </c>
      <c r="H74" s="618" t="s">
        <v>119</v>
      </c>
      <c r="I74" s="596">
        <f>+I18-I51</f>
        <v>0</v>
      </c>
      <c r="J74" s="596">
        <f>+J18-J51</f>
        <v>0</v>
      </c>
    </row>
    <row r="75" spans="1:11" x14ac:dyDescent="0.25">
      <c r="A75" s="565"/>
      <c r="B75" s="594"/>
      <c r="C75" s="566" t="s">
        <v>743</v>
      </c>
      <c r="D75" s="596">
        <f>+D19</f>
        <v>4601630.5</v>
      </c>
      <c r="E75" s="596">
        <f>+E19</f>
        <v>4601630.5</v>
      </c>
      <c r="F75" s="561"/>
      <c r="G75" s="598"/>
      <c r="H75" s="620" t="s">
        <v>121</v>
      </c>
      <c r="I75" s="596">
        <v>0</v>
      </c>
      <c r="J75" s="596">
        <v>0</v>
      </c>
    </row>
    <row r="76" spans="1:11" x14ac:dyDescent="0.25">
      <c r="A76" s="565"/>
      <c r="B76" s="594"/>
      <c r="C76" s="621" t="s">
        <v>122</v>
      </c>
      <c r="D76" s="596">
        <f>+D21-D53</f>
        <v>1715390</v>
      </c>
      <c r="E76" s="596">
        <f>+E21-E53</f>
        <v>1715390</v>
      </c>
      <c r="F76" s="597"/>
      <c r="G76" s="598"/>
      <c r="H76" s="620" t="s">
        <v>123</v>
      </c>
      <c r="I76" s="596">
        <v>0</v>
      </c>
      <c r="J76" s="596">
        <v>0</v>
      </c>
    </row>
    <row r="77" spans="1:11" hidden="1" x14ac:dyDescent="0.25">
      <c r="A77" s="565"/>
      <c r="B77" s="594" t="s">
        <v>128</v>
      </c>
      <c r="C77" s="638" t="s">
        <v>129</v>
      </c>
      <c r="D77" s="639"/>
      <c r="E77" s="639"/>
      <c r="F77" s="597"/>
      <c r="G77" s="598" t="s">
        <v>130</v>
      </c>
      <c r="H77" s="640" t="s">
        <v>131</v>
      </c>
      <c r="I77" s="639"/>
      <c r="J77" s="639"/>
    </row>
    <row r="78" spans="1:11" ht="25.5" hidden="1" x14ac:dyDescent="0.25">
      <c r="A78" s="534"/>
      <c r="B78" s="594" t="s">
        <v>737</v>
      </c>
      <c r="C78" s="571" t="s">
        <v>738</v>
      </c>
      <c r="D78" s="543"/>
      <c r="E78" s="543"/>
      <c r="F78" s="563"/>
      <c r="G78" s="598" t="s">
        <v>739</v>
      </c>
      <c r="H78" s="572" t="s">
        <v>740</v>
      </c>
      <c r="I78" s="543">
        <v>0</v>
      </c>
      <c r="J78" s="543">
        <v>0</v>
      </c>
    </row>
    <row r="79" spans="1:11" ht="16.5" thickBot="1" x14ac:dyDescent="0.3">
      <c r="A79" s="641" t="s">
        <v>138</v>
      </c>
      <c r="B79" s="626"/>
      <c r="C79" s="642"/>
      <c r="D79" s="573">
        <f>D60+D73</f>
        <v>8521801.5</v>
      </c>
      <c r="E79" s="573">
        <f>E60+E73</f>
        <v>8638655.5</v>
      </c>
      <c r="F79" s="628" t="s">
        <v>139</v>
      </c>
      <c r="G79" s="643"/>
      <c r="H79" s="644"/>
      <c r="I79" s="573">
        <f>I60+I73</f>
        <v>8521802</v>
      </c>
      <c r="J79" s="573">
        <f>J60+J73</f>
        <v>8521802</v>
      </c>
      <c r="K79" s="564">
        <f>+J79-I79</f>
        <v>0</v>
      </c>
    </row>
  </sheetData>
  <mergeCells count="16">
    <mergeCell ref="A2:J2"/>
    <mergeCell ref="A1:J1"/>
    <mergeCell ref="A59:C59"/>
    <mergeCell ref="F59:H59"/>
    <mergeCell ref="A28:C28"/>
    <mergeCell ref="F28:H28"/>
    <mergeCell ref="A36:C36"/>
    <mergeCell ref="F36:H36"/>
    <mergeCell ref="F29:J34"/>
    <mergeCell ref="A35:J35"/>
    <mergeCell ref="A58:J58"/>
    <mergeCell ref="A27:C27"/>
    <mergeCell ref="F27:H27"/>
    <mergeCell ref="A3:C3"/>
    <mergeCell ref="F3:H3"/>
    <mergeCell ref="F4:H4"/>
  </mergeCells>
  <pageMargins left="0.47244094488188981" right="0.17" top="0.74803149606299213" bottom="0.74803149606299213" header="0.31496062992125984" footer="0.31496062992125984"/>
  <pageSetup paperSize="9" scale="61" fitToHeight="0" orientation="portrait" r:id="rId1"/>
  <headerFooter>
    <oddHeader>&amp;R1. melléklet a .../2022. (V. .....) önkormányzati rendelethez
1. melléklet az 1/2022. (II.28.) önkormányzati rendelethez</oddHeader>
  </headerFooter>
  <rowBreaks count="1" manualBreakCount="1">
    <brk id="34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329"/>
  <sheetViews>
    <sheetView showGridLines="0" view="pageBreakPreview" zoomScale="110" zoomScaleNormal="120" zoomScaleSheetLayoutView="110" zoomScalePageLayoutView="150" workbookViewId="0">
      <selection activeCell="D6" sqref="D6"/>
    </sheetView>
  </sheetViews>
  <sheetFormatPr defaultColWidth="9.140625" defaultRowHeight="20.100000000000001" customHeight="1" x14ac:dyDescent="0.2"/>
  <cols>
    <col min="1" max="1" width="38.42578125" style="370" customWidth="1"/>
    <col min="2" max="2" width="4.7109375" style="371" customWidth="1"/>
    <col min="3" max="4" width="12.28515625" style="376" customWidth="1"/>
    <col min="5" max="5" width="12.28515625" style="376" hidden="1" customWidth="1"/>
    <col min="6" max="6" width="13.140625" style="377" hidden="1" customWidth="1"/>
    <col min="7" max="7" width="12.28515625" style="377" customWidth="1"/>
    <col min="8" max="8" width="13.28515625" style="377" customWidth="1"/>
    <col min="9" max="9" width="12.42578125" style="377" hidden="1" customWidth="1"/>
    <col min="10" max="10" width="14.140625" style="373" hidden="1" customWidth="1"/>
    <col min="11" max="12" width="10.5703125" style="373" customWidth="1"/>
    <col min="13" max="13" width="10" style="373" hidden="1" customWidth="1"/>
    <col min="14" max="14" width="13.5703125" style="373" hidden="1" customWidth="1"/>
    <col min="15" max="15" width="12.140625" style="373" customWidth="1"/>
    <col min="16" max="16" width="11.5703125" style="373" customWidth="1"/>
    <col min="17" max="17" width="12.7109375" style="373" hidden="1" customWidth="1"/>
    <col min="18" max="18" width="15.42578125" style="231" hidden="1" customWidth="1"/>
    <col min="19" max="19" width="13" style="231" customWidth="1"/>
    <col min="20" max="20" width="12.140625" style="231" customWidth="1"/>
    <col min="21" max="21" width="13.28515625" style="231" hidden="1" customWidth="1"/>
    <col min="22" max="22" width="14.42578125" style="231" hidden="1" customWidth="1"/>
    <col min="23" max="24" width="13.140625" style="231" customWidth="1"/>
    <col min="25" max="25" width="13.140625" style="231" hidden="1" customWidth="1"/>
    <col min="26" max="26" width="12.140625" style="231" hidden="1" customWidth="1"/>
    <col min="27" max="28" width="14.85546875" style="231" customWidth="1"/>
    <col min="29" max="29" width="14.85546875" style="231" hidden="1" customWidth="1"/>
    <col min="30" max="30" width="13.7109375" style="231" hidden="1" customWidth="1"/>
    <col min="31" max="31" width="13.5703125" style="231" customWidth="1"/>
    <col min="32" max="32" width="14.5703125" style="231" customWidth="1"/>
    <col min="33" max="33" width="13.140625" style="231" hidden="1" customWidth="1"/>
    <col min="34" max="34" width="13.28515625" style="231" hidden="1" customWidth="1"/>
    <col min="35" max="36" width="13.28515625" style="231" customWidth="1"/>
    <col min="37" max="37" width="13.28515625" style="231" hidden="1" customWidth="1"/>
    <col min="38" max="38" width="14.140625" style="374" hidden="1" customWidth="1"/>
    <col min="39" max="39" width="14.5703125" style="375" hidden="1" customWidth="1"/>
    <col min="40" max="41" width="9.140625" style="231" customWidth="1"/>
    <col min="42" max="43" width="9.140625" style="231"/>
    <col min="44" max="45" width="14.5703125" style="231" bestFit="1" customWidth="1"/>
    <col min="46" max="46" width="10.85546875" style="231" bestFit="1" customWidth="1"/>
    <col min="47" max="16384" width="9.140625" style="231"/>
  </cols>
  <sheetData>
    <row r="1" spans="1:39" s="214" customFormat="1" ht="108" customHeight="1" x14ac:dyDescent="0.2">
      <c r="A1" s="211"/>
      <c r="B1" s="1165" t="s">
        <v>150</v>
      </c>
      <c r="C1" s="1162" t="s">
        <v>151</v>
      </c>
      <c r="D1" s="1163"/>
      <c r="E1" s="1163"/>
      <c r="F1" s="1164"/>
      <c r="G1" s="1162" t="s">
        <v>152</v>
      </c>
      <c r="H1" s="1163"/>
      <c r="I1" s="1163"/>
      <c r="J1" s="1164"/>
      <c r="K1" s="1162" t="s">
        <v>153</v>
      </c>
      <c r="L1" s="1163"/>
      <c r="M1" s="1163"/>
      <c r="N1" s="1164"/>
      <c r="O1" s="1162" t="s">
        <v>154</v>
      </c>
      <c r="P1" s="1163"/>
      <c r="Q1" s="1163"/>
      <c r="R1" s="1164"/>
      <c r="S1" s="1162" t="s">
        <v>155</v>
      </c>
      <c r="T1" s="1163"/>
      <c r="U1" s="1163"/>
      <c r="V1" s="1164"/>
      <c r="W1" s="1162" t="s">
        <v>156</v>
      </c>
      <c r="X1" s="1163"/>
      <c r="Y1" s="1163"/>
      <c r="Z1" s="1164"/>
      <c r="AA1" s="1162" t="s">
        <v>157</v>
      </c>
      <c r="AB1" s="1163"/>
      <c r="AC1" s="1163"/>
      <c r="AD1" s="1164"/>
      <c r="AE1" s="1162" t="s">
        <v>158</v>
      </c>
      <c r="AF1" s="1163"/>
      <c r="AG1" s="1163"/>
      <c r="AH1" s="1164"/>
      <c r="AI1" s="807"/>
      <c r="AJ1" s="807"/>
      <c r="AK1" s="807"/>
      <c r="AL1" s="212" t="s">
        <v>159</v>
      </c>
      <c r="AM1" s="213" t="s">
        <v>160</v>
      </c>
    </row>
    <row r="2" spans="1:39" s="219" customFormat="1" ht="45" customHeight="1" thickBot="1" x14ac:dyDescent="0.25">
      <c r="A2" s="215" t="s">
        <v>1080</v>
      </c>
      <c r="B2" s="1166"/>
      <c r="C2" s="216" t="s">
        <v>92</v>
      </c>
      <c r="D2" s="216" t="s">
        <v>1510</v>
      </c>
      <c r="E2" s="216" t="s">
        <v>729</v>
      </c>
      <c r="F2" s="216" t="s">
        <v>92</v>
      </c>
      <c r="G2" s="216" t="s">
        <v>92</v>
      </c>
      <c r="H2" s="216" t="s">
        <v>1510</v>
      </c>
      <c r="I2" s="216" t="s">
        <v>1081</v>
      </c>
      <c r="J2" s="216" t="s">
        <v>92</v>
      </c>
      <c r="K2" s="216" t="s">
        <v>92</v>
      </c>
      <c r="L2" s="216" t="s">
        <v>1510</v>
      </c>
      <c r="M2" s="216" t="s">
        <v>1081</v>
      </c>
      <c r="N2" s="216" t="s">
        <v>92</v>
      </c>
      <c r="O2" s="216" t="s">
        <v>92</v>
      </c>
      <c r="P2" s="216" t="s">
        <v>1510</v>
      </c>
      <c r="Q2" s="216" t="s">
        <v>1081</v>
      </c>
      <c r="R2" s="216" t="s">
        <v>92</v>
      </c>
      <c r="S2" s="216" t="s">
        <v>92</v>
      </c>
      <c r="T2" s="216" t="s">
        <v>1510</v>
      </c>
      <c r="U2" s="216" t="s">
        <v>1081</v>
      </c>
      <c r="V2" s="216" t="s">
        <v>92</v>
      </c>
      <c r="W2" s="216" t="s">
        <v>92</v>
      </c>
      <c r="X2" s="216" t="s">
        <v>1510</v>
      </c>
      <c r="Y2" s="216" t="s">
        <v>1081</v>
      </c>
      <c r="Z2" s="216" t="s">
        <v>92</v>
      </c>
      <c r="AA2" s="216" t="s">
        <v>92</v>
      </c>
      <c r="AB2" s="216" t="s">
        <v>1510</v>
      </c>
      <c r="AC2" s="216" t="s">
        <v>1081</v>
      </c>
      <c r="AD2" s="216" t="s">
        <v>92</v>
      </c>
      <c r="AE2" s="216" t="s">
        <v>92</v>
      </c>
      <c r="AF2" s="216" t="s">
        <v>1510</v>
      </c>
      <c r="AG2" s="216" t="s">
        <v>1081</v>
      </c>
      <c r="AH2" s="216" t="s">
        <v>92</v>
      </c>
      <c r="AI2" s="216" t="s">
        <v>92</v>
      </c>
      <c r="AJ2" s="216" t="s">
        <v>1510</v>
      </c>
      <c r="AK2" s="216"/>
      <c r="AL2" s="217" t="s">
        <v>92</v>
      </c>
      <c r="AM2" s="218" t="s">
        <v>92</v>
      </c>
    </row>
    <row r="3" spans="1:39" s="226" customFormat="1" ht="26.25" customHeight="1" x14ac:dyDescent="0.2">
      <c r="A3" s="220" t="s">
        <v>161</v>
      </c>
      <c r="B3" s="221"/>
      <c r="C3" s="222">
        <v>489913</v>
      </c>
      <c r="D3" s="222">
        <v>489913</v>
      </c>
      <c r="E3" s="222">
        <v>484301.02100000001</v>
      </c>
      <c r="F3" s="223">
        <v>489912.91600000003</v>
      </c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4">
        <f>C3+G3+K3+O3+S3+W3+AA3+AE3</f>
        <v>489913</v>
      </c>
      <c r="AJ3" s="224">
        <f>D3+H3+L3+P3+T3+X3+AB3+AF3</f>
        <v>489913</v>
      </c>
      <c r="AK3" s="224">
        <f>E3+I3+M3+Q3+U3+Y3+AC3+AG3</f>
        <v>484301.02100000001</v>
      </c>
      <c r="AL3" s="224">
        <f>F3+J3+N3+R3+V3+Z3+AD3+AH3</f>
        <v>489912.91600000003</v>
      </c>
      <c r="AM3" s="225">
        <f>J3+N3+R3+V3+Z3+AD3+AH3</f>
        <v>0</v>
      </c>
    </row>
    <row r="4" spans="1:39" ht="26.25" customHeight="1" x14ac:dyDescent="0.2">
      <c r="A4" s="227" t="s">
        <v>162</v>
      </c>
      <c r="B4" s="228"/>
      <c r="C4" s="229">
        <v>417667</v>
      </c>
      <c r="D4" s="229">
        <v>417667</v>
      </c>
      <c r="E4" s="229">
        <v>383874.18</v>
      </c>
      <c r="F4" s="230">
        <v>417666.53</v>
      </c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24">
        <f t="shared" ref="AI4:AI18" si="0">C4+G4+K4+O4+S4+W4+AA4+AE4</f>
        <v>417667</v>
      </c>
      <c r="AJ4" s="224">
        <f t="shared" ref="AJ4:AJ18" si="1">D4+H4+L4+P4+T4+X4+AB4+AF4</f>
        <v>417667</v>
      </c>
      <c r="AK4" s="224">
        <f t="shared" ref="AK4:AK18" si="2">E4+I4+M4+Q4+U4+Y4+AC4+AG4</f>
        <v>383874.18</v>
      </c>
      <c r="AL4" s="224">
        <f t="shared" ref="AL4:AL67" si="3">F4+J4+N4+R4+V4+Z4+AD4+AH4</f>
        <v>417666.53</v>
      </c>
      <c r="AM4" s="225">
        <f t="shared" ref="AM4:AM67" si="4">J4+N4+R4+V4+Z4+AD4+AH4</f>
        <v>0</v>
      </c>
    </row>
    <row r="5" spans="1:39" s="233" customFormat="1" ht="42" customHeight="1" x14ac:dyDescent="0.2">
      <c r="A5" s="315" t="s">
        <v>1098</v>
      </c>
      <c r="B5" s="228"/>
      <c r="C5" s="230">
        <f>+C6+C7</f>
        <v>520289</v>
      </c>
      <c r="D5" s="230">
        <f>+D6+D7</f>
        <v>542605</v>
      </c>
      <c r="E5" s="230">
        <v>500250.61300000001</v>
      </c>
      <c r="F5" s="230">
        <v>520289.39099999995</v>
      </c>
      <c r="G5" s="230"/>
      <c r="H5" s="230"/>
      <c r="I5" s="230"/>
      <c r="J5" s="230">
        <v>0</v>
      </c>
      <c r="K5" s="230"/>
      <c r="L5" s="230"/>
      <c r="M5" s="230"/>
      <c r="N5" s="230">
        <v>0</v>
      </c>
      <c r="O5" s="230"/>
      <c r="P5" s="230"/>
      <c r="Q5" s="230"/>
      <c r="R5" s="230">
        <v>0</v>
      </c>
      <c r="S5" s="230"/>
      <c r="T5" s="230"/>
      <c r="U5" s="230"/>
      <c r="V5" s="230">
        <v>0</v>
      </c>
      <c r="W5" s="230"/>
      <c r="X5" s="230"/>
      <c r="Y5" s="230"/>
      <c r="Z5" s="230">
        <v>0</v>
      </c>
      <c r="AA5" s="230"/>
      <c r="AB5" s="230"/>
      <c r="AC5" s="230"/>
      <c r="AD5" s="230">
        <v>0</v>
      </c>
      <c r="AE5" s="230"/>
      <c r="AF5" s="230"/>
      <c r="AG5" s="230"/>
      <c r="AH5" s="230">
        <v>0</v>
      </c>
      <c r="AI5" s="224">
        <f t="shared" si="0"/>
        <v>520289</v>
      </c>
      <c r="AJ5" s="224">
        <f t="shared" si="1"/>
        <v>542605</v>
      </c>
      <c r="AK5" s="224">
        <f t="shared" si="2"/>
        <v>500250.61300000001</v>
      </c>
      <c r="AL5" s="224">
        <f t="shared" si="3"/>
        <v>520289.39099999995</v>
      </c>
      <c r="AM5" s="225">
        <f t="shared" si="4"/>
        <v>0</v>
      </c>
    </row>
    <row r="6" spans="1:39" s="238" customFormat="1" ht="39.6" customHeight="1" x14ac:dyDescent="0.2">
      <c r="A6" s="234" t="s">
        <v>163</v>
      </c>
      <c r="B6" s="235"/>
      <c r="C6" s="236">
        <v>379646</v>
      </c>
      <c r="D6" s="236">
        <f>379646+22316</f>
        <v>401962</v>
      </c>
      <c r="E6" s="236">
        <v>386217.78399999999</v>
      </c>
      <c r="F6" s="237">
        <v>379646.31</v>
      </c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24">
        <f t="shared" si="0"/>
        <v>379646</v>
      </c>
      <c r="AJ6" s="224">
        <f t="shared" si="1"/>
        <v>401962</v>
      </c>
      <c r="AK6" s="224">
        <f t="shared" si="2"/>
        <v>386217.78399999999</v>
      </c>
      <c r="AL6" s="224">
        <f t="shared" si="3"/>
        <v>379646.31</v>
      </c>
      <c r="AM6" s="225">
        <f t="shared" si="4"/>
        <v>0</v>
      </c>
    </row>
    <row r="7" spans="1:39" s="238" customFormat="1" ht="38.450000000000003" customHeight="1" x14ac:dyDescent="0.2">
      <c r="A7" s="234" t="s">
        <v>164</v>
      </c>
      <c r="B7" s="239"/>
      <c r="C7" s="240">
        <v>140643</v>
      </c>
      <c r="D7" s="240">
        <v>140643</v>
      </c>
      <c r="E7" s="240">
        <v>114032.829</v>
      </c>
      <c r="F7" s="237">
        <v>140643.08099999998</v>
      </c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24">
        <f t="shared" si="0"/>
        <v>140643</v>
      </c>
      <c r="AJ7" s="224">
        <f t="shared" si="1"/>
        <v>140643</v>
      </c>
      <c r="AK7" s="224">
        <f t="shared" si="2"/>
        <v>114032.829</v>
      </c>
      <c r="AL7" s="224">
        <f t="shared" si="3"/>
        <v>140643.08099999998</v>
      </c>
      <c r="AM7" s="225">
        <f t="shared" si="4"/>
        <v>0</v>
      </c>
    </row>
    <row r="8" spans="1:39" ht="27.75" customHeight="1" x14ac:dyDescent="0.2">
      <c r="A8" s="227" t="s">
        <v>165</v>
      </c>
      <c r="B8" s="228"/>
      <c r="C8" s="229">
        <v>14748</v>
      </c>
      <c r="D8" s="229">
        <v>14748</v>
      </c>
      <c r="E8" s="229">
        <v>14748.236999999999</v>
      </c>
      <c r="F8" s="230">
        <v>14747.688</v>
      </c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24">
        <f t="shared" si="0"/>
        <v>14748</v>
      </c>
      <c r="AJ8" s="224">
        <f t="shared" si="1"/>
        <v>14748</v>
      </c>
      <c r="AK8" s="224">
        <f t="shared" si="2"/>
        <v>14748.236999999999</v>
      </c>
      <c r="AL8" s="224">
        <f t="shared" si="3"/>
        <v>14747.688</v>
      </c>
      <c r="AM8" s="225">
        <f t="shared" si="4"/>
        <v>0</v>
      </c>
    </row>
    <row r="9" spans="1:39" ht="26.25" customHeight="1" x14ac:dyDescent="0.2">
      <c r="A9" s="227" t="s">
        <v>166</v>
      </c>
      <c r="B9" s="228"/>
      <c r="C9" s="229"/>
      <c r="D9" s="229"/>
      <c r="E9" s="229"/>
      <c r="F9" s="241"/>
      <c r="G9" s="241"/>
      <c r="H9" s="241"/>
      <c r="I9" s="241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24">
        <f t="shared" si="0"/>
        <v>0</v>
      </c>
      <c r="AJ9" s="224">
        <f t="shared" si="1"/>
        <v>0</v>
      </c>
      <c r="AK9" s="224">
        <f t="shared" si="2"/>
        <v>0</v>
      </c>
      <c r="AL9" s="224">
        <f t="shared" si="3"/>
        <v>0</v>
      </c>
      <c r="AM9" s="225">
        <f t="shared" si="4"/>
        <v>0</v>
      </c>
    </row>
    <row r="10" spans="1:39" ht="20.100000000000001" customHeight="1" x14ac:dyDescent="0.2">
      <c r="A10" s="227" t="s">
        <v>167</v>
      </c>
      <c r="B10" s="228"/>
      <c r="C10" s="229"/>
      <c r="D10" s="229"/>
      <c r="E10" s="229">
        <v>11770.716</v>
      </c>
      <c r="F10" s="241"/>
      <c r="G10" s="241"/>
      <c r="H10" s="241"/>
      <c r="I10" s="241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24">
        <f t="shared" si="0"/>
        <v>0</v>
      </c>
      <c r="AJ10" s="224">
        <f t="shared" si="1"/>
        <v>0</v>
      </c>
      <c r="AK10" s="224">
        <f t="shared" si="2"/>
        <v>11770.716</v>
      </c>
      <c r="AL10" s="224">
        <f t="shared" si="3"/>
        <v>0</v>
      </c>
      <c r="AM10" s="225">
        <f t="shared" si="4"/>
        <v>0</v>
      </c>
    </row>
    <row r="11" spans="1:39" s="245" customFormat="1" ht="27" customHeight="1" x14ac:dyDescent="0.2">
      <c r="A11" s="242" t="s">
        <v>1096</v>
      </c>
      <c r="B11" s="243"/>
      <c r="C11" s="244">
        <f>+C3+C4+C5+C8+C9+C10</f>
        <v>1442617</v>
      </c>
      <c r="D11" s="244">
        <f>+D3+D4+D5+D8+D9+D10</f>
        <v>1464933</v>
      </c>
      <c r="E11" s="244">
        <v>1394944.767</v>
      </c>
      <c r="F11" s="244">
        <v>1442616.5249999999</v>
      </c>
      <c r="G11" s="244"/>
      <c r="H11" s="244"/>
      <c r="I11" s="244"/>
      <c r="J11" s="244"/>
      <c r="K11" s="244"/>
      <c r="L11" s="244"/>
      <c r="M11" s="244"/>
      <c r="N11" s="244"/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44"/>
      <c r="AG11" s="244"/>
      <c r="AH11" s="244"/>
      <c r="AI11" s="224">
        <f t="shared" si="0"/>
        <v>1442617</v>
      </c>
      <c r="AJ11" s="224">
        <f t="shared" si="1"/>
        <v>1464933</v>
      </c>
      <c r="AK11" s="224">
        <f t="shared" si="2"/>
        <v>1394944.767</v>
      </c>
      <c r="AL11" s="224">
        <f t="shared" si="3"/>
        <v>1442616.5249999999</v>
      </c>
      <c r="AM11" s="225">
        <f t="shared" si="4"/>
        <v>0</v>
      </c>
    </row>
    <row r="12" spans="1:39" s="251" customFormat="1" ht="20.100000000000001" hidden="1" customHeight="1" x14ac:dyDescent="0.2">
      <c r="A12" s="246" t="s">
        <v>168</v>
      </c>
      <c r="B12" s="247"/>
      <c r="C12" s="247"/>
      <c r="D12" s="247"/>
      <c r="E12" s="247"/>
      <c r="F12" s="248">
        <v>0</v>
      </c>
      <c r="G12" s="249"/>
      <c r="H12" s="249"/>
      <c r="I12" s="249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  <c r="AD12" s="250"/>
      <c r="AE12" s="250"/>
      <c r="AF12" s="250"/>
      <c r="AG12" s="250"/>
      <c r="AH12" s="250"/>
      <c r="AI12" s="224">
        <f t="shared" si="0"/>
        <v>0</v>
      </c>
      <c r="AJ12" s="224">
        <f t="shared" si="1"/>
        <v>0</v>
      </c>
      <c r="AK12" s="224">
        <f t="shared" si="2"/>
        <v>0</v>
      </c>
      <c r="AL12" s="224">
        <f t="shared" si="3"/>
        <v>0</v>
      </c>
      <c r="AM12" s="225">
        <f t="shared" si="4"/>
        <v>0</v>
      </c>
    </row>
    <row r="13" spans="1:39" s="251" customFormat="1" ht="41.25" hidden="1" customHeight="1" x14ac:dyDescent="0.2">
      <c r="A13" s="246" t="s">
        <v>169</v>
      </c>
      <c r="B13" s="247"/>
      <c r="C13" s="247"/>
      <c r="D13" s="247"/>
      <c r="E13" s="247"/>
      <c r="F13" s="248">
        <v>0</v>
      </c>
      <c r="G13" s="249"/>
      <c r="H13" s="249"/>
      <c r="I13" s="249"/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250"/>
      <c r="AI13" s="224">
        <f t="shared" si="0"/>
        <v>0</v>
      </c>
      <c r="AJ13" s="224">
        <f t="shared" si="1"/>
        <v>0</v>
      </c>
      <c r="AK13" s="224">
        <f t="shared" si="2"/>
        <v>0</v>
      </c>
      <c r="AL13" s="224">
        <f t="shared" si="3"/>
        <v>0</v>
      </c>
      <c r="AM13" s="225">
        <f t="shared" si="4"/>
        <v>0</v>
      </c>
    </row>
    <row r="14" spans="1:39" s="253" customFormat="1" ht="42" hidden="1" customHeight="1" x14ac:dyDescent="0.2">
      <c r="A14" s="242" t="s">
        <v>170</v>
      </c>
      <c r="B14" s="252"/>
      <c r="C14" s="252"/>
      <c r="D14" s="252"/>
      <c r="E14" s="252"/>
      <c r="F14" s="244">
        <v>0</v>
      </c>
      <c r="G14" s="244"/>
      <c r="H14" s="244"/>
      <c r="I14" s="244"/>
      <c r="J14" s="244">
        <v>0</v>
      </c>
      <c r="K14" s="244"/>
      <c r="L14" s="244"/>
      <c r="M14" s="244"/>
      <c r="N14" s="244">
        <v>0</v>
      </c>
      <c r="O14" s="244"/>
      <c r="P14" s="244"/>
      <c r="Q14" s="244"/>
      <c r="R14" s="244">
        <v>0</v>
      </c>
      <c r="S14" s="244"/>
      <c r="T14" s="244"/>
      <c r="U14" s="244"/>
      <c r="V14" s="244">
        <v>0</v>
      </c>
      <c r="W14" s="244"/>
      <c r="X14" s="244"/>
      <c r="Y14" s="244"/>
      <c r="Z14" s="244">
        <v>0</v>
      </c>
      <c r="AA14" s="244"/>
      <c r="AB14" s="244"/>
      <c r="AC14" s="244"/>
      <c r="AD14" s="244">
        <v>0</v>
      </c>
      <c r="AE14" s="244"/>
      <c r="AF14" s="244"/>
      <c r="AG14" s="244"/>
      <c r="AH14" s="244">
        <v>0</v>
      </c>
      <c r="AI14" s="224">
        <f t="shared" si="0"/>
        <v>0</v>
      </c>
      <c r="AJ14" s="224">
        <f t="shared" si="1"/>
        <v>0</v>
      </c>
      <c r="AK14" s="224">
        <f t="shared" si="2"/>
        <v>0</v>
      </c>
      <c r="AL14" s="224">
        <f t="shared" si="3"/>
        <v>0</v>
      </c>
      <c r="AM14" s="225">
        <f t="shared" si="4"/>
        <v>0</v>
      </c>
    </row>
    <row r="15" spans="1:39" s="258" customFormat="1" ht="20.100000000000001" hidden="1" customHeight="1" x14ac:dyDescent="0.2">
      <c r="A15" s="234" t="s">
        <v>171</v>
      </c>
      <c r="B15" s="254"/>
      <c r="C15" s="254"/>
      <c r="D15" s="254"/>
      <c r="E15" s="254"/>
      <c r="F15" s="255"/>
      <c r="G15" s="256"/>
      <c r="H15" s="256"/>
      <c r="I15" s="256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257"/>
      <c r="AC15" s="257"/>
      <c r="AD15" s="257"/>
      <c r="AE15" s="257"/>
      <c r="AF15" s="257"/>
      <c r="AG15" s="257"/>
      <c r="AH15" s="257"/>
      <c r="AI15" s="224">
        <f t="shared" si="0"/>
        <v>0</v>
      </c>
      <c r="AJ15" s="224">
        <f t="shared" si="1"/>
        <v>0</v>
      </c>
      <c r="AK15" s="224">
        <f t="shared" si="2"/>
        <v>0</v>
      </c>
      <c r="AL15" s="224">
        <f t="shared" si="3"/>
        <v>0</v>
      </c>
      <c r="AM15" s="225">
        <f t="shared" si="4"/>
        <v>0</v>
      </c>
    </row>
    <row r="16" spans="1:39" s="260" customFormat="1" ht="20.100000000000001" hidden="1" customHeight="1" x14ac:dyDescent="0.2">
      <c r="A16" s="234" t="s">
        <v>172</v>
      </c>
      <c r="B16" s="235"/>
      <c r="C16" s="235"/>
      <c r="D16" s="235"/>
      <c r="E16" s="235"/>
      <c r="F16" s="255"/>
      <c r="G16" s="255"/>
      <c r="H16" s="255"/>
      <c r="I16" s="255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59"/>
      <c r="AG16" s="259"/>
      <c r="AH16" s="259"/>
      <c r="AI16" s="224">
        <f t="shared" si="0"/>
        <v>0</v>
      </c>
      <c r="AJ16" s="224">
        <f t="shared" si="1"/>
        <v>0</v>
      </c>
      <c r="AK16" s="224">
        <f t="shared" si="2"/>
        <v>0</v>
      </c>
      <c r="AL16" s="224">
        <f t="shared" si="3"/>
        <v>0</v>
      </c>
      <c r="AM16" s="225">
        <f t="shared" si="4"/>
        <v>0</v>
      </c>
    </row>
    <row r="17" spans="1:39" s="260" customFormat="1" ht="27" hidden="1" customHeight="1" x14ac:dyDescent="0.2">
      <c r="A17" s="234" t="s">
        <v>173</v>
      </c>
      <c r="B17" s="235"/>
      <c r="C17" s="235"/>
      <c r="D17" s="235"/>
      <c r="E17" s="235"/>
      <c r="F17" s="255"/>
      <c r="G17" s="255"/>
      <c r="H17" s="255"/>
      <c r="I17" s="255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  <c r="AA17" s="259"/>
      <c r="AB17" s="259"/>
      <c r="AC17" s="259"/>
      <c r="AD17" s="259"/>
      <c r="AE17" s="259"/>
      <c r="AF17" s="259"/>
      <c r="AG17" s="259"/>
      <c r="AH17" s="259"/>
      <c r="AI17" s="224">
        <f t="shared" si="0"/>
        <v>0</v>
      </c>
      <c r="AJ17" s="224">
        <f t="shared" si="1"/>
        <v>0</v>
      </c>
      <c r="AK17" s="224">
        <f t="shared" si="2"/>
        <v>0</v>
      </c>
      <c r="AL17" s="224">
        <f t="shared" si="3"/>
        <v>0</v>
      </c>
      <c r="AM17" s="225">
        <f t="shared" si="4"/>
        <v>0</v>
      </c>
    </row>
    <row r="18" spans="1:39" s="260" customFormat="1" ht="20.100000000000001" hidden="1" customHeight="1" x14ac:dyDescent="0.2">
      <c r="A18" s="234" t="s">
        <v>174</v>
      </c>
      <c r="B18" s="235"/>
      <c r="C18" s="235"/>
      <c r="D18" s="235"/>
      <c r="E18" s="235"/>
      <c r="F18" s="255"/>
      <c r="G18" s="255"/>
      <c r="H18" s="255"/>
      <c r="I18" s="255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59"/>
      <c r="AG18" s="259"/>
      <c r="AH18" s="259"/>
      <c r="AI18" s="224">
        <f t="shared" si="0"/>
        <v>0</v>
      </c>
      <c r="AJ18" s="224">
        <f t="shared" si="1"/>
        <v>0</v>
      </c>
      <c r="AK18" s="224">
        <f t="shared" si="2"/>
        <v>0</v>
      </c>
      <c r="AL18" s="224">
        <f t="shared" si="3"/>
        <v>0</v>
      </c>
      <c r="AM18" s="225">
        <f t="shared" si="4"/>
        <v>0</v>
      </c>
    </row>
    <row r="19" spans="1:39" s="260" customFormat="1" ht="20.100000000000001" hidden="1" customHeight="1" x14ac:dyDescent="0.2">
      <c r="A19" s="234" t="s">
        <v>175</v>
      </c>
      <c r="B19" s="235"/>
      <c r="C19" s="235"/>
      <c r="D19" s="235"/>
      <c r="E19" s="235"/>
      <c r="F19" s="255"/>
      <c r="G19" s="255"/>
      <c r="H19" s="255"/>
      <c r="I19" s="255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24">
        <f t="shared" ref="AI19:AI47" si="5">C19+G19+K19+O19+S19+W19+AA19+AE19</f>
        <v>0</v>
      </c>
      <c r="AJ19" s="224">
        <f t="shared" ref="AJ19:AJ47" si="6">D19+H19+L19+P19+T19+X19+AB19+AF19</f>
        <v>0</v>
      </c>
      <c r="AK19" s="224">
        <f t="shared" ref="AK19:AK47" si="7">E19+I19+M19+Q19+U19+Y19+AC19+AG19</f>
        <v>0</v>
      </c>
      <c r="AL19" s="224">
        <f t="shared" si="3"/>
        <v>0</v>
      </c>
      <c r="AM19" s="225">
        <f t="shared" si="4"/>
        <v>0</v>
      </c>
    </row>
    <row r="20" spans="1:39" s="260" customFormat="1" ht="20.100000000000001" hidden="1" customHeight="1" x14ac:dyDescent="0.2">
      <c r="A20" s="234" t="s">
        <v>176</v>
      </c>
      <c r="B20" s="235"/>
      <c r="C20" s="235"/>
      <c r="D20" s="235"/>
      <c r="E20" s="235"/>
      <c r="F20" s="255"/>
      <c r="G20" s="255"/>
      <c r="H20" s="255"/>
      <c r="I20" s="255"/>
      <c r="J20" s="237"/>
      <c r="K20" s="237"/>
      <c r="L20" s="237"/>
      <c r="M20" s="237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59"/>
      <c r="AH20" s="259"/>
      <c r="AI20" s="224">
        <f t="shared" si="5"/>
        <v>0</v>
      </c>
      <c r="AJ20" s="224">
        <f t="shared" si="6"/>
        <v>0</v>
      </c>
      <c r="AK20" s="224">
        <f t="shared" si="7"/>
        <v>0</v>
      </c>
      <c r="AL20" s="224">
        <f t="shared" si="3"/>
        <v>0</v>
      </c>
      <c r="AM20" s="225">
        <f t="shared" si="4"/>
        <v>0</v>
      </c>
    </row>
    <row r="21" spans="1:39" s="260" customFormat="1" ht="29.25" hidden="1" customHeight="1" x14ac:dyDescent="0.2">
      <c r="A21" s="234" t="s">
        <v>177</v>
      </c>
      <c r="B21" s="235"/>
      <c r="C21" s="235"/>
      <c r="D21" s="235"/>
      <c r="E21" s="235"/>
      <c r="F21" s="255"/>
      <c r="G21" s="255"/>
      <c r="H21" s="255"/>
      <c r="I21" s="255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24">
        <f t="shared" si="5"/>
        <v>0</v>
      </c>
      <c r="AJ21" s="224">
        <f t="shared" si="6"/>
        <v>0</v>
      </c>
      <c r="AK21" s="224">
        <f t="shared" si="7"/>
        <v>0</v>
      </c>
      <c r="AL21" s="224">
        <f t="shared" si="3"/>
        <v>0</v>
      </c>
      <c r="AM21" s="225">
        <f t="shared" si="4"/>
        <v>0</v>
      </c>
    </row>
    <row r="22" spans="1:39" s="260" customFormat="1" ht="20.100000000000001" hidden="1" customHeight="1" x14ac:dyDescent="0.2">
      <c r="A22" s="234" t="s">
        <v>178</v>
      </c>
      <c r="B22" s="235"/>
      <c r="C22" s="235"/>
      <c r="D22" s="235"/>
      <c r="E22" s="235"/>
      <c r="F22" s="255"/>
      <c r="G22" s="255"/>
      <c r="H22" s="255"/>
      <c r="I22" s="255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24">
        <f t="shared" si="5"/>
        <v>0</v>
      </c>
      <c r="AJ22" s="224">
        <f t="shared" si="6"/>
        <v>0</v>
      </c>
      <c r="AK22" s="224">
        <f t="shared" si="7"/>
        <v>0</v>
      </c>
      <c r="AL22" s="224">
        <f t="shared" si="3"/>
        <v>0</v>
      </c>
      <c r="AM22" s="225">
        <f t="shared" si="4"/>
        <v>0</v>
      </c>
    </row>
    <row r="23" spans="1:39" s="260" customFormat="1" ht="27" hidden="1" customHeight="1" x14ac:dyDescent="0.2">
      <c r="A23" s="234" t="s">
        <v>179</v>
      </c>
      <c r="B23" s="235"/>
      <c r="C23" s="235"/>
      <c r="D23" s="235"/>
      <c r="E23" s="235"/>
      <c r="F23" s="255"/>
      <c r="G23" s="255"/>
      <c r="H23" s="255"/>
      <c r="I23" s="255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24">
        <f t="shared" si="5"/>
        <v>0</v>
      </c>
      <c r="AJ23" s="224">
        <f t="shared" si="6"/>
        <v>0</v>
      </c>
      <c r="AK23" s="224">
        <f t="shared" si="7"/>
        <v>0</v>
      </c>
      <c r="AL23" s="224">
        <f t="shared" si="3"/>
        <v>0</v>
      </c>
      <c r="AM23" s="225">
        <f t="shared" si="4"/>
        <v>0</v>
      </c>
    </row>
    <row r="24" spans="1:39" s="260" customFormat="1" ht="30" hidden="1" customHeight="1" x14ac:dyDescent="0.2">
      <c r="A24" s="234" t="s">
        <v>180</v>
      </c>
      <c r="B24" s="235"/>
      <c r="C24" s="235"/>
      <c r="D24" s="235"/>
      <c r="E24" s="235"/>
      <c r="F24" s="255"/>
      <c r="G24" s="255"/>
      <c r="H24" s="255"/>
      <c r="I24" s="255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  <c r="Z24" s="259"/>
      <c r="AA24" s="259"/>
      <c r="AB24" s="259"/>
      <c r="AC24" s="259"/>
      <c r="AD24" s="259"/>
      <c r="AE24" s="259"/>
      <c r="AF24" s="259"/>
      <c r="AG24" s="259"/>
      <c r="AH24" s="259"/>
      <c r="AI24" s="224">
        <f t="shared" si="5"/>
        <v>0</v>
      </c>
      <c r="AJ24" s="224">
        <f t="shared" si="6"/>
        <v>0</v>
      </c>
      <c r="AK24" s="224">
        <f t="shared" si="7"/>
        <v>0</v>
      </c>
      <c r="AL24" s="224">
        <f t="shared" si="3"/>
        <v>0</v>
      </c>
      <c r="AM24" s="225">
        <f t="shared" si="4"/>
        <v>0</v>
      </c>
    </row>
    <row r="25" spans="1:39" s="245" customFormat="1" ht="43.5" hidden="1" customHeight="1" x14ac:dyDescent="0.2">
      <c r="A25" s="242" t="s">
        <v>181</v>
      </c>
      <c r="B25" s="243"/>
      <c r="C25" s="243"/>
      <c r="D25" s="243"/>
      <c r="E25" s="243"/>
      <c r="F25" s="244">
        <v>0</v>
      </c>
      <c r="G25" s="244"/>
      <c r="H25" s="244"/>
      <c r="I25" s="244"/>
      <c r="J25" s="244">
        <v>0</v>
      </c>
      <c r="K25" s="244"/>
      <c r="L25" s="244"/>
      <c r="M25" s="244"/>
      <c r="N25" s="244">
        <v>0</v>
      </c>
      <c r="O25" s="244"/>
      <c r="P25" s="244"/>
      <c r="Q25" s="244"/>
      <c r="R25" s="244">
        <v>0</v>
      </c>
      <c r="S25" s="244"/>
      <c r="T25" s="244"/>
      <c r="U25" s="244"/>
      <c r="V25" s="244">
        <v>0</v>
      </c>
      <c r="W25" s="244"/>
      <c r="X25" s="244"/>
      <c r="Y25" s="244"/>
      <c r="Z25" s="244">
        <v>0</v>
      </c>
      <c r="AA25" s="244"/>
      <c r="AB25" s="244"/>
      <c r="AC25" s="244"/>
      <c r="AD25" s="244">
        <v>0</v>
      </c>
      <c r="AE25" s="244"/>
      <c r="AF25" s="244"/>
      <c r="AG25" s="244"/>
      <c r="AH25" s="244">
        <v>0</v>
      </c>
      <c r="AI25" s="224">
        <f t="shared" si="5"/>
        <v>0</v>
      </c>
      <c r="AJ25" s="224">
        <f t="shared" si="6"/>
        <v>0</v>
      </c>
      <c r="AK25" s="224">
        <f t="shared" si="7"/>
        <v>0</v>
      </c>
      <c r="AL25" s="224">
        <f t="shared" si="3"/>
        <v>0</v>
      </c>
      <c r="AM25" s="225">
        <f t="shared" si="4"/>
        <v>0</v>
      </c>
    </row>
    <row r="26" spans="1:39" s="261" customFormat="1" ht="20.100000000000001" hidden="1" customHeight="1" x14ac:dyDescent="0.2">
      <c r="A26" s="234" t="s">
        <v>182</v>
      </c>
      <c r="B26" s="254"/>
      <c r="C26" s="254"/>
      <c r="D26" s="254"/>
      <c r="E26" s="254"/>
      <c r="F26" s="255"/>
      <c r="G26" s="255"/>
      <c r="H26" s="255"/>
      <c r="I26" s="255"/>
      <c r="J26" s="259"/>
      <c r="K26" s="259"/>
      <c r="L26" s="259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24">
        <f t="shared" si="5"/>
        <v>0</v>
      </c>
      <c r="AJ26" s="224">
        <f t="shared" si="6"/>
        <v>0</v>
      </c>
      <c r="AK26" s="224">
        <f t="shared" si="7"/>
        <v>0</v>
      </c>
      <c r="AL26" s="224">
        <f t="shared" si="3"/>
        <v>0</v>
      </c>
      <c r="AM26" s="225">
        <f t="shared" si="4"/>
        <v>0</v>
      </c>
    </row>
    <row r="27" spans="1:39" s="261" customFormat="1" ht="20.100000000000001" hidden="1" customHeight="1" x14ac:dyDescent="0.2">
      <c r="A27" s="234" t="s">
        <v>183</v>
      </c>
      <c r="B27" s="235"/>
      <c r="C27" s="235"/>
      <c r="D27" s="235"/>
      <c r="E27" s="235"/>
      <c r="F27" s="255"/>
      <c r="G27" s="255"/>
      <c r="H27" s="255"/>
      <c r="I27" s="255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  <c r="W27" s="259"/>
      <c r="X27" s="259"/>
      <c r="Y27" s="259"/>
      <c r="Z27" s="259"/>
      <c r="AA27" s="259"/>
      <c r="AB27" s="259"/>
      <c r="AC27" s="259"/>
      <c r="AD27" s="259"/>
      <c r="AE27" s="259"/>
      <c r="AF27" s="259"/>
      <c r="AG27" s="259"/>
      <c r="AH27" s="259"/>
      <c r="AI27" s="224">
        <f t="shared" si="5"/>
        <v>0</v>
      </c>
      <c r="AJ27" s="224">
        <f t="shared" si="6"/>
        <v>0</v>
      </c>
      <c r="AK27" s="224">
        <f t="shared" si="7"/>
        <v>0</v>
      </c>
      <c r="AL27" s="224">
        <f t="shared" si="3"/>
        <v>0</v>
      </c>
      <c r="AM27" s="225">
        <f t="shared" si="4"/>
        <v>0</v>
      </c>
    </row>
    <row r="28" spans="1:39" s="261" customFormat="1" ht="27" hidden="1" customHeight="1" x14ac:dyDescent="0.2">
      <c r="A28" s="234" t="s">
        <v>184</v>
      </c>
      <c r="B28" s="235"/>
      <c r="C28" s="235"/>
      <c r="D28" s="235"/>
      <c r="E28" s="235"/>
      <c r="F28" s="255"/>
      <c r="G28" s="255"/>
      <c r="H28" s="255"/>
      <c r="I28" s="255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24">
        <f t="shared" si="5"/>
        <v>0</v>
      </c>
      <c r="AJ28" s="224">
        <f t="shared" si="6"/>
        <v>0</v>
      </c>
      <c r="AK28" s="224">
        <f t="shared" si="7"/>
        <v>0</v>
      </c>
      <c r="AL28" s="224">
        <f t="shared" si="3"/>
        <v>0</v>
      </c>
      <c r="AM28" s="225">
        <f t="shared" si="4"/>
        <v>0</v>
      </c>
    </row>
    <row r="29" spans="1:39" s="261" customFormat="1" ht="20.100000000000001" hidden="1" customHeight="1" x14ac:dyDescent="0.2">
      <c r="A29" s="234" t="s">
        <v>185</v>
      </c>
      <c r="B29" s="235"/>
      <c r="C29" s="235"/>
      <c r="D29" s="235"/>
      <c r="E29" s="235"/>
      <c r="F29" s="255"/>
      <c r="G29" s="255"/>
      <c r="H29" s="255"/>
      <c r="I29" s="255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59"/>
      <c r="AE29" s="259"/>
      <c r="AF29" s="259"/>
      <c r="AG29" s="259"/>
      <c r="AH29" s="259"/>
      <c r="AI29" s="224">
        <f t="shared" si="5"/>
        <v>0</v>
      </c>
      <c r="AJ29" s="224">
        <f t="shared" si="6"/>
        <v>0</v>
      </c>
      <c r="AK29" s="224">
        <f t="shared" si="7"/>
        <v>0</v>
      </c>
      <c r="AL29" s="224">
        <f t="shared" si="3"/>
        <v>0</v>
      </c>
      <c r="AM29" s="225">
        <f t="shared" si="4"/>
        <v>0</v>
      </c>
    </row>
    <row r="30" spans="1:39" s="261" customFormat="1" ht="20.100000000000001" hidden="1" customHeight="1" x14ac:dyDescent="0.2">
      <c r="A30" s="234" t="s">
        <v>186</v>
      </c>
      <c r="B30" s="235"/>
      <c r="C30" s="235"/>
      <c r="D30" s="235"/>
      <c r="E30" s="235"/>
      <c r="F30" s="255"/>
      <c r="G30" s="255"/>
      <c r="H30" s="255"/>
      <c r="I30" s="255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24">
        <f t="shared" si="5"/>
        <v>0</v>
      </c>
      <c r="AJ30" s="224">
        <f t="shared" si="6"/>
        <v>0</v>
      </c>
      <c r="AK30" s="224">
        <f t="shared" si="7"/>
        <v>0</v>
      </c>
      <c r="AL30" s="224">
        <f t="shared" si="3"/>
        <v>0</v>
      </c>
      <c r="AM30" s="225">
        <f t="shared" si="4"/>
        <v>0</v>
      </c>
    </row>
    <row r="31" spans="1:39" s="261" customFormat="1" ht="20.100000000000001" hidden="1" customHeight="1" x14ac:dyDescent="0.2">
      <c r="A31" s="234" t="s">
        <v>187</v>
      </c>
      <c r="B31" s="235"/>
      <c r="C31" s="235"/>
      <c r="D31" s="235"/>
      <c r="E31" s="235"/>
      <c r="F31" s="255"/>
      <c r="G31" s="255"/>
      <c r="H31" s="255"/>
      <c r="I31" s="255"/>
      <c r="J31" s="259"/>
      <c r="K31" s="259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59"/>
      <c r="AB31" s="259"/>
      <c r="AC31" s="259"/>
      <c r="AD31" s="259"/>
      <c r="AE31" s="259"/>
      <c r="AF31" s="259"/>
      <c r="AG31" s="259"/>
      <c r="AH31" s="259"/>
      <c r="AI31" s="224">
        <f t="shared" si="5"/>
        <v>0</v>
      </c>
      <c r="AJ31" s="224">
        <f t="shared" si="6"/>
        <v>0</v>
      </c>
      <c r="AK31" s="224">
        <f t="shared" si="7"/>
        <v>0</v>
      </c>
      <c r="AL31" s="224">
        <f t="shared" si="3"/>
        <v>0</v>
      </c>
      <c r="AM31" s="225">
        <f t="shared" si="4"/>
        <v>0</v>
      </c>
    </row>
    <row r="32" spans="1:39" s="261" customFormat="1" ht="27.75" hidden="1" customHeight="1" x14ac:dyDescent="0.2">
      <c r="A32" s="234" t="s">
        <v>188</v>
      </c>
      <c r="B32" s="235"/>
      <c r="C32" s="235"/>
      <c r="D32" s="235"/>
      <c r="E32" s="235"/>
      <c r="F32" s="255"/>
      <c r="G32" s="255"/>
      <c r="H32" s="255"/>
      <c r="I32" s="255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AD32" s="259"/>
      <c r="AE32" s="259"/>
      <c r="AF32" s="259"/>
      <c r="AG32" s="259"/>
      <c r="AH32" s="259"/>
      <c r="AI32" s="224">
        <f t="shared" si="5"/>
        <v>0</v>
      </c>
      <c r="AJ32" s="224">
        <f t="shared" si="6"/>
        <v>0</v>
      </c>
      <c r="AK32" s="224">
        <f t="shared" si="7"/>
        <v>0</v>
      </c>
      <c r="AL32" s="224">
        <f t="shared" si="3"/>
        <v>0</v>
      </c>
      <c r="AM32" s="225">
        <f t="shared" si="4"/>
        <v>0</v>
      </c>
    </row>
    <row r="33" spans="1:39" s="261" customFormat="1" ht="20.100000000000001" hidden="1" customHeight="1" x14ac:dyDescent="0.2">
      <c r="A33" s="234" t="s">
        <v>189</v>
      </c>
      <c r="B33" s="235"/>
      <c r="C33" s="235"/>
      <c r="D33" s="235"/>
      <c r="E33" s="235"/>
      <c r="F33" s="255"/>
      <c r="G33" s="255"/>
      <c r="H33" s="255"/>
      <c r="I33" s="255"/>
      <c r="J33" s="259"/>
      <c r="K33" s="259"/>
      <c r="L33" s="259"/>
      <c r="M33" s="259"/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59"/>
      <c r="AA33" s="259"/>
      <c r="AB33" s="259"/>
      <c r="AC33" s="259"/>
      <c r="AD33" s="259"/>
      <c r="AE33" s="259"/>
      <c r="AF33" s="259"/>
      <c r="AG33" s="259"/>
      <c r="AH33" s="259"/>
      <c r="AI33" s="224">
        <f t="shared" si="5"/>
        <v>0</v>
      </c>
      <c r="AJ33" s="224">
        <f t="shared" si="6"/>
        <v>0</v>
      </c>
      <c r="AK33" s="224">
        <f t="shared" si="7"/>
        <v>0</v>
      </c>
      <c r="AL33" s="224">
        <f t="shared" si="3"/>
        <v>0</v>
      </c>
      <c r="AM33" s="225">
        <f t="shared" si="4"/>
        <v>0</v>
      </c>
    </row>
    <row r="34" spans="1:39" s="261" customFormat="1" ht="27.75" hidden="1" customHeight="1" x14ac:dyDescent="0.2">
      <c r="A34" s="234" t="s">
        <v>190</v>
      </c>
      <c r="B34" s="235"/>
      <c r="C34" s="235"/>
      <c r="D34" s="235"/>
      <c r="E34" s="235"/>
      <c r="F34" s="255"/>
      <c r="G34" s="255"/>
      <c r="H34" s="255"/>
      <c r="I34" s="255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24">
        <f t="shared" si="5"/>
        <v>0</v>
      </c>
      <c r="AJ34" s="224">
        <f t="shared" si="6"/>
        <v>0</v>
      </c>
      <c r="AK34" s="224">
        <f t="shared" si="7"/>
        <v>0</v>
      </c>
      <c r="AL34" s="224">
        <f t="shared" si="3"/>
        <v>0</v>
      </c>
      <c r="AM34" s="225">
        <f t="shared" si="4"/>
        <v>0</v>
      </c>
    </row>
    <row r="35" spans="1:39" s="261" customFormat="1" ht="27.75" hidden="1" customHeight="1" x14ac:dyDescent="0.2">
      <c r="A35" s="234" t="s">
        <v>191</v>
      </c>
      <c r="B35" s="235"/>
      <c r="C35" s="235"/>
      <c r="D35" s="235"/>
      <c r="E35" s="235"/>
      <c r="F35" s="255"/>
      <c r="G35" s="255"/>
      <c r="H35" s="255"/>
      <c r="I35" s="255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24">
        <f t="shared" si="5"/>
        <v>0</v>
      </c>
      <c r="AJ35" s="224">
        <f t="shared" si="6"/>
        <v>0</v>
      </c>
      <c r="AK35" s="224">
        <f t="shared" si="7"/>
        <v>0</v>
      </c>
      <c r="AL35" s="224">
        <f t="shared" si="3"/>
        <v>0</v>
      </c>
      <c r="AM35" s="225">
        <f t="shared" si="4"/>
        <v>0</v>
      </c>
    </row>
    <row r="36" spans="1:39" s="263" customFormat="1" ht="28.5" customHeight="1" x14ac:dyDescent="0.2">
      <c r="A36" s="1061" t="s">
        <v>1097</v>
      </c>
      <c r="B36" s="1062"/>
      <c r="C36" s="310">
        <f>+C41</f>
        <v>0</v>
      </c>
      <c r="D36" s="310">
        <f>+D41</f>
        <v>0</v>
      </c>
      <c r="E36" s="1062">
        <v>13343.166999999999</v>
      </c>
      <c r="F36" s="248">
        <v>0</v>
      </c>
      <c r="G36" s="248">
        <v>2000</v>
      </c>
      <c r="H36" s="248">
        <v>2000</v>
      </c>
      <c r="I36" s="248">
        <v>2145</v>
      </c>
      <c r="J36" s="248">
        <v>2000</v>
      </c>
      <c r="K36" s="248">
        <f>+K41</f>
        <v>863000</v>
      </c>
      <c r="L36" s="248">
        <f>+L41</f>
        <v>863000</v>
      </c>
      <c r="M36" s="248">
        <v>862040.2</v>
      </c>
      <c r="N36" s="248">
        <v>863000</v>
      </c>
      <c r="O36" s="248"/>
      <c r="P36" s="248"/>
      <c r="Q36" s="248"/>
      <c r="R36" s="248">
        <v>0</v>
      </c>
      <c r="S36" s="248"/>
      <c r="T36" s="248"/>
      <c r="U36" s="248"/>
      <c r="V36" s="248">
        <v>0</v>
      </c>
      <c r="W36" s="248"/>
      <c r="X36" s="248"/>
      <c r="Y36" s="248"/>
      <c r="Z36" s="248">
        <v>0</v>
      </c>
      <c r="AA36" s="248"/>
      <c r="AB36" s="248"/>
      <c r="AC36" s="248"/>
      <c r="AD36" s="248">
        <v>0</v>
      </c>
      <c r="AE36" s="248"/>
      <c r="AF36" s="248"/>
      <c r="AG36" s="248"/>
      <c r="AH36" s="248">
        <v>0</v>
      </c>
      <c r="AI36" s="224">
        <f t="shared" si="5"/>
        <v>865000</v>
      </c>
      <c r="AJ36" s="224">
        <f t="shared" si="6"/>
        <v>865000</v>
      </c>
      <c r="AK36" s="224">
        <f t="shared" si="7"/>
        <v>877528.36699999997</v>
      </c>
      <c r="AL36" s="224">
        <f t="shared" si="3"/>
        <v>865000</v>
      </c>
      <c r="AM36" s="225">
        <f t="shared" si="4"/>
        <v>865000</v>
      </c>
    </row>
    <row r="37" spans="1:39" s="264" customFormat="1" ht="20.100000000000001" hidden="1" customHeight="1" x14ac:dyDescent="0.2">
      <c r="A37" s="234" t="s">
        <v>192</v>
      </c>
      <c r="B37" s="254"/>
      <c r="C37" s="254"/>
      <c r="D37" s="254"/>
      <c r="E37" s="254">
        <v>5145.99</v>
      </c>
      <c r="F37" s="255"/>
      <c r="G37" s="256"/>
      <c r="H37" s="256"/>
      <c r="I37" s="256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24">
        <f t="shared" si="5"/>
        <v>0</v>
      </c>
      <c r="AJ37" s="224">
        <f t="shared" si="6"/>
        <v>0</v>
      </c>
      <c r="AK37" s="224">
        <f t="shared" si="7"/>
        <v>5145.99</v>
      </c>
      <c r="AL37" s="224">
        <f t="shared" si="3"/>
        <v>0</v>
      </c>
      <c r="AM37" s="225">
        <f t="shared" si="4"/>
        <v>0</v>
      </c>
    </row>
    <row r="38" spans="1:39" s="238" customFormat="1" ht="20.100000000000001" hidden="1" customHeight="1" x14ac:dyDescent="0.2">
      <c r="A38" s="234" t="s">
        <v>193</v>
      </c>
      <c r="B38" s="235"/>
      <c r="C38" s="235"/>
      <c r="D38" s="235"/>
      <c r="E38" s="235"/>
      <c r="F38" s="255"/>
      <c r="G38" s="255"/>
      <c r="H38" s="255"/>
      <c r="I38" s="255"/>
      <c r="J38" s="259"/>
      <c r="K38" s="259"/>
      <c r="L38" s="259"/>
      <c r="M38" s="259"/>
      <c r="N38" s="259"/>
      <c r="O38" s="259"/>
      <c r="P38" s="259"/>
      <c r="Q38" s="259"/>
      <c r="R38" s="259"/>
      <c r="S38" s="259"/>
      <c r="T38" s="259"/>
      <c r="U38" s="259"/>
      <c r="V38" s="259"/>
      <c r="W38" s="259"/>
      <c r="X38" s="259"/>
      <c r="Y38" s="259"/>
      <c r="Z38" s="259"/>
      <c r="AA38" s="259"/>
      <c r="AB38" s="259"/>
      <c r="AC38" s="259"/>
      <c r="AD38" s="259">
        <v>0</v>
      </c>
      <c r="AE38" s="259"/>
      <c r="AF38" s="259"/>
      <c r="AG38" s="259"/>
      <c r="AH38" s="259"/>
      <c r="AI38" s="224">
        <f t="shared" si="5"/>
        <v>0</v>
      </c>
      <c r="AJ38" s="224">
        <f t="shared" si="6"/>
        <v>0</v>
      </c>
      <c r="AK38" s="224">
        <f t="shared" si="7"/>
        <v>0</v>
      </c>
      <c r="AL38" s="224">
        <f t="shared" si="3"/>
        <v>0</v>
      </c>
      <c r="AM38" s="225">
        <f t="shared" si="4"/>
        <v>0</v>
      </c>
    </row>
    <row r="39" spans="1:39" s="238" customFormat="1" ht="26.25" hidden="1" customHeight="1" x14ac:dyDescent="0.2">
      <c r="A39" s="234" t="s">
        <v>194</v>
      </c>
      <c r="B39" s="235"/>
      <c r="C39" s="235"/>
      <c r="D39" s="235"/>
      <c r="E39" s="235"/>
      <c r="F39" s="255"/>
      <c r="G39" s="255"/>
      <c r="H39" s="255"/>
      <c r="I39" s="255"/>
      <c r="J39" s="259"/>
      <c r="K39" s="25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59"/>
      <c r="AA39" s="259"/>
      <c r="AB39" s="259"/>
      <c r="AC39" s="259"/>
      <c r="AD39" s="259"/>
      <c r="AE39" s="259"/>
      <c r="AF39" s="259"/>
      <c r="AG39" s="259"/>
      <c r="AH39" s="259"/>
      <c r="AI39" s="224">
        <f t="shared" si="5"/>
        <v>0</v>
      </c>
      <c r="AJ39" s="224">
        <f t="shared" si="6"/>
        <v>0</v>
      </c>
      <c r="AK39" s="224">
        <f t="shared" si="7"/>
        <v>0</v>
      </c>
      <c r="AL39" s="224">
        <f t="shared" si="3"/>
        <v>0</v>
      </c>
      <c r="AM39" s="225">
        <f t="shared" si="4"/>
        <v>0</v>
      </c>
    </row>
    <row r="40" spans="1:39" s="238" customFormat="1" ht="20.100000000000001" hidden="1" customHeight="1" x14ac:dyDescent="0.2">
      <c r="A40" s="234" t="s">
        <v>195</v>
      </c>
      <c r="B40" s="235"/>
      <c r="C40" s="235"/>
      <c r="D40" s="235">
        <v>8396.2839999999997</v>
      </c>
      <c r="E40" s="235">
        <v>5595</v>
      </c>
      <c r="F40" s="255"/>
      <c r="G40" s="255"/>
      <c r="H40" s="255"/>
      <c r="I40" s="255"/>
      <c r="J40" s="237"/>
      <c r="K40" s="237"/>
      <c r="L40" s="237"/>
      <c r="M40" s="237"/>
      <c r="N40" s="259"/>
      <c r="O40" s="259"/>
      <c r="P40" s="259"/>
      <c r="Q40" s="259"/>
      <c r="R40" s="259"/>
      <c r="S40" s="259"/>
      <c r="T40" s="259"/>
      <c r="U40" s="259"/>
      <c r="V40" s="259"/>
      <c r="W40" s="259"/>
      <c r="X40" s="259"/>
      <c r="Y40" s="259"/>
      <c r="Z40" s="259"/>
      <c r="AA40" s="259"/>
      <c r="AB40" s="259"/>
      <c r="AC40" s="259"/>
      <c r="AD40" s="259"/>
      <c r="AE40" s="259"/>
      <c r="AF40" s="259"/>
      <c r="AG40" s="259"/>
      <c r="AH40" s="259"/>
      <c r="AI40" s="224">
        <f t="shared" si="5"/>
        <v>0</v>
      </c>
      <c r="AJ40" s="224">
        <f t="shared" si="6"/>
        <v>8396.2839999999997</v>
      </c>
      <c r="AK40" s="224">
        <f t="shared" si="7"/>
        <v>5595</v>
      </c>
      <c r="AL40" s="224">
        <f t="shared" si="3"/>
        <v>0</v>
      </c>
      <c r="AM40" s="225">
        <f t="shared" si="4"/>
        <v>0</v>
      </c>
    </row>
    <row r="41" spans="1:39" s="238" customFormat="1" ht="26.45" customHeight="1" x14ac:dyDescent="0.2">
      <c r="A41" s="234" t="s">
        <v>196</v>
      </c>
      <c r="B41" s="235"/>
      <c r="C41" s="235"/>
      <c r="D41" s="235"/>
      <c r="E41" s="235"/>
      <c r="F41" s="255"/>
      <c r="G41" s="255"/>
      <c r="H41" s="255"/>
      <c r="I41" s="255"/>
      <c r="J41" s="259"/>
      <c r="K41" s="259">
        <v>863000</v>
      </c>
      <c r="L41" s="259">
        <v>863000</v>
      </c>
      <c r="M41" s="259">
        <v>862040.2</v>
      </c>
      <c r="N41" s="259">
        <v>863000</v>
      </c>
      <c r="O41" s="259"/>
      <c r="P41" s="259"/>
      <c r="Q41" s="259"/>
      <c r="R41" s="259"/>
      <c r="S41" s="259"/>
      <c r="T41" s="259"/>
      <c r="U41" s="259"/>
      <c r="V41" s="259"/>
      <c r="W41" s="259"/>
      <c r="X41" s="259"/>
      <c r="Y41" s="259"/>
      <c r="Z41" s="259"/>
      <c r="AA41" s="259"/>
      <c r="AB41" s="259"/>
      <c r="AC41" s="259"/>
      <c r="AD41" s="259"/>
      <c r="AE41" s="259"/>
      <c r="AF41" s="259"/>
      <c r="AG41" s="259"/>
      <c r="AH41" s="259"/>
      <c r="AI41" s="224">
        <f t="shared" si="5"/>
        <v>863000</v>
      </c>
      <c r="AJ41" s="224">
        <f t="shared" si="6"/>
        <v>863000</v>
      </c>
      <c r="AK41" s="224">
        <f t="shared" si="7"/>
        <v>862040.2</v>
      </c>
      <c r="AL41" s="224">
        <f t="shared" si="3"/>
        <v>863000</v>
      </c>
      <c r="AM41" s="225">
        <f t="shared" si="4"/>
        <v>863000</v>
      </c>
    </row>
    <row r="42" spans="1:39" s="238" customFormat="1" ht="20.100000000000001" hidden="1" customHeight="1" x14ac:dyDescent="0.2">
      <c r="A42" s="234" t="s">
        <v>197</v>
      </c>
      <c r="B42" s="235"/>
      <c r="C42" s="235">
        <v>1000</v>
      </c>
      <c r="D42" s="235">
        <v>1000</v>
      </c>
      <c r="E42" s="235">
        <v>1758.1079999999999</v>
      </c>
      <c r="F42" s="255"/>
      <c r="G42" s="255"/>
      <c r="H42" s="255"/>
      <c r="I42" s="255"/>
      <c r="J42" s="259"/>
      <c r="K42" s="259"/>
      <c r="L42" s="259"/>
      <c r="M42" s="259"/>
      <c r="N42" s="259"/>
      <c r="O42" s="259"/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59"/>
      <c r="AB42" s="259"/>
      <c r="AC42" s="259"/>
      <c r="AD42" s="259"/>
      <c r="AE42" s="259"/>
      <c r="AF42" s="259"/>
      <c r="AG42" s="259"/>
      <c r="AH42" s="259"/>
      <c r="AI42" s="224">
        <f t="shared" si="5"/>
        <v>1000</v>
      </c>
      <c r="AJ42" s="224">
        <f t="shared" si="6"/>
        <v>1000</v>
      </c>
      <c r="AK42" s="224">
        <f t="shared" si="7"/>
        <v>1758.1079999999999</v>
      </c>
      <c r="AL42" s="224">
        <f t="shared" si="3"/>
        <v>0</v>
      </c>
      <c r="AM42" s="225">
        <f t="shared" si="4"/>
        <v>0</v>
      </c>
    </row>
    <row r="43" spans="1:39" s="264" customFormat="1" ht="24.75" hidden="1" customHeight="1" x14ac:dyDescent="0.2">
      <c r="A43" s="234" t="s">
        <v>198</v>
      </c>
      <c r="B43" s="254"/>
      <c r="C43" s="254"/>
      <c r="D43" s="254"/>
      <c r="E43" s="254">
        <v>844.06899999999996</v>
      </c>
      <c r="F43" s="255"/>
      <c r="G43" s="256"/>
      <c r="H43" s="256"/>
      <c r="I43" s="256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24">
        <f t="shared" si="5"/>
        <v>0</v>
      </c>
      <c r="AJ43" s="224">
        <f t="shared" si="6"/>
        <v>0</v>
      </c>
      <c r="AK43" s="224">
        <f t="shared" si="7"/>
        <v>844.06899999999996</v>
      </c>
      <c r="AL43" s="224">
        <f t="shared" si="3"/>
        <v>0</v>
      </c>
      <c r="AM43" s="225">
        <f t="shared" si="4"/>
        <v>0</v>
      </c>
    </row>
    <row r="44" spans="1:39" s="238" customFormat="1" ht="20.100000000000001" hidden="1" customHeight="1" x14ac:dyDescent="0.2">
      <c r="A44" s="234" t="s">
        <v>199</v>
      </c>
      <c r="B44" s="235"/>
      <c r="C44" s="235"/>
      <c r="D44" s="235"/>
      <c r="E44" s="235"/>
      <c r="F44" s="255"/>
      <c r="G44" s="255"/>
      <c r="H44" s="255"/>
      <c r="I44" s="255"/>
      <c r="J44" s="259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259"/>
      <c r="AA44" s="259"/>
      <c r="AB44" s="259"/>
      <c r="AC44" s="259"/>
      <c r="AD44" s="259"/>
      <c r="AE44" s="259"/>
      <c r="AF44" s="259"/>
      <c r="AG44" s="259"/>
      <c r="AH44" s="259"/>
      <c r="AI44" s="224">
        <f t="shared" si="5"/>
        <v>0</v>
      </c>
      <c r="AJ44" s="224">
        <f t="shared" si="6"/>
        <v>0</v>
      </c>
      <c r="AK44" s="224">
        <f t="shared" si="7"/>
        <v>0</v>
      </c>
      <c r="AL44" s="224">
        <f t="shared" si="3"/>
        <v>0</v>
      </c>
      <c r="AM44" s="225">
        <f t="shared" si="4"/>
        <v>0</v>
      </c>
    </row>
    <row r="45" spans="1:39" s="238" customFormat="1" ht="26.25" hidden="1" customHeight="1" x14ac:dyDescent="0.2">
      <c r="A45" s="234" t="s">
        <v>200</v>
      </c>
      <c r="B45" s="235"/>
      <c r="C45" s="235"/>
      <c r="D45" s="235"/>
      <c r="E45" s="235"/>
      <c r="F45" s="255"/>
      <c r="G45" s="255"/>
      <c r="H45" s="255"/>
      <c r="I45" s="255"/>
      <c r="J45" s="259"/>
      <c r="K45" s="259"/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  <c r="AA45" s="259"/>
      <c r="AB45" s="259"/>
      <c r="AC45" s="259"/>
      <c r="AD45" s="259"/>
      <c r="AE45" s="259"/>
      <c r="AF45" s="259"/>
      <c r="AG45" s="259"/>
      <c r="AH45" s="259"/>
      <c r="AI45" s="224">
        <f t="shared" si="5"/>
        <v>0</v>
      </c>
      <c r="AJ45" s="224">
        <f t="shared" si="6"/>
        <v>0</v>
      </c>
      <c r="AK45" s="224">
        <f t="shared" si="7"/>
        <v>0</v>
      </c>
      <c r="AL45" s="224">
        <f t="shared" si="3"/>
        <v>0</v>
      </c>
      <c r="AM45" s="225">
        <f t="shared" si="4"/>
        <v>0</v>
      </c>
    </row>
    <row r="46" spans="1:39" s="238" customFormat="1" ht="27.75" hidden="1" customHeight="1" x14ac:dyDescent="0.2">
      <c r="A46" s="234" t="s">
        <v>201</v>
      </c>
      <c r="B46" s="235"/>
      <c r="C46" s="235"/>
      <c r="D46" s="235"/>
      <c r="E46" s="235"/>
      <c r="F46" s="255"/>
      <c r="G46" s="255"/>
      <c r="H46" s="255"/>
      <c r="I46" s="255"/>
      <c r="J46" s="259"/>
      <c r="K46" s="259"/>
      <c r="L46" s="259"/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  <c r="AA46" s="259"/>
      <c r="AB46" s="259"/>
      <c r="AC46" s="259"/>
      <c r="AD46" s="259"/>
      <c r="AE46" s="259"/>
      <c r="AF46" s="259"/>
      <c r="AG46" s="259"/>
      <c r="AH46" s="259"/>
      <c r="AI46" s="224">
        <f t="shared" si="5"/>
        <v>0</v>
      </c>
      <c r="AJ46" s="224">
        <f t="shared" si="6"/>
        <v>0</v>
      </c>
      <c r="AK46" s="224">
        <f t="shared" si="7"/>
        <v>0</v>
      </c>
      <c r="AL46" s="224">
        <f t="shared" si="3"/>
        <v>0</v>
      </c>
      <c r="AM46" s="225">
        <f t="shared" si="4"/>
        <v>0</v>
      </c>
    </row>
    <row r="47" spans="1:39" s="268" customFormat="1" ht="48" customHeight="1" thickBot="1" x14ac:dyDescent="0.25">
      <c r="A47" s="265" t="s">
        <v>1099</v>
      </c>
      <c r="B47" s="266" t="s">
        <v>97</v>
      </c>
      <c r="C47" s="267">
        <f>+C11+C36</f>
        <v>1442617</v>
      </c>
      <c r="D47" s="267">
        <f>+D11+D36</f>
        <v>1464933</v>
      </c>
      <c r="E47" s="267">
        <v>1408287.9339999999</v>
      </c>
      <c r="F47" s="267">
        <v>1442616.5249999999</v>
      </c>
      <c r="G47" s="267">
        <f t="shared" ref="G47:H47" si="8">+G11+G36</f>
        <v>2000</v>
      </c>
      <c r="H47" s="267">
        <f t="shared" si="8"/>
        <v>2000</v>
      </c>
      <c r="I47" s="267">
        <v>2145</v>
      </c>
      <c r="J47" s="267">
        <v>2000</v>
      </c>
      <c r="K47" s="267">
        <f t="shared" ref="K47:L47" si="9">+K11+K36</f>
        <v>863000</v>
      </c>
      <c r="L47" s="267">
        <f t="shared" si="9"/>
        <v>863000</v>
      </c>
      <c r="M47" s="267">
        <v>862040.2</v>
      </c>
      <c r="N47" s="267">
        <v>863000</v>
      </c>
      <c r="O47" s="267"/>
      <c r="P47" s="267"/>
      <c r="Q47" s="267"/>
      <c r="R47" s="267">
        <v>0</v>
      </c>
      <c r="S47" s="267"/>
      <c r="T47" s="267"/>
      <c r="U47" s="267"/>
      <c r="V47" s="267">
        <v>0</v>
      </c>
      <c r="W47" s="267"/>
      <c r="X47" s="267"/>
      <c r="Y47" s="267"/>
      <c r="Z47" s="267">
        <v>0</v>
      </c>
      <c r="AA47" s="267"/>
      <c r="AB47" s="267"/>
      <c r="AC47" s="267"/>
      <c r="AD47" s="267">
        <v>0</v>
      </c>
      <c r="AE47" s="267"/>
      <c r="AF47" s="267"/>
      <c r="AG47" s="267"/>
      <c r="AH47" s="267">
        <v>0</v>
      </c>
      <c r="AI47" s="224">
        <f t="shared" si="5"/>
        <v>2307617</v>
      </c>
      <c r="AJ47" s="224">
        <f t="shared" si="6"/>
        <v>2329933</v>
      </c>
      <c r="AK47" s="224">
        <f t="shared" si="7"/>
        <v>2272473.1339999996</v>
      </c>
      <c r="AL47" s="224">
        <f t="shared" si="3"/>
        <v>2307616.5249999999</v>
      </c>
      <c r="AM47" s="225">
        <f t="shared" si="4"/>
        <v>865000</v>
      </c>
    </row>
    <row r="48" spans="1:39" s="251" customFormat="1" ht="20.100000000000001" hidden="1" customHeight="1" x14ac:dyDescent="0.2">
      <c r="A48" s="269" t="s">
        <v>202</v>
      </c>
      <c r="B48" s="247"/>
      <c r="C48" s="247"/>
      <c r="D48" s="247"/>
      <c r="E48" s="247"/>
      <c r="F48" s="249">
        <v>0</v>
      </c>
      <c r="G48" s="249"/>
      <c r="H48" s="249"/>
      <c r="I48" s="249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0"/>
      <c r="AL48" s="224">
        <f t="shared" si="3"/>
        <v>0</v>
      </c>
      <c r="AM48" s="225">
        <f t="shared" si="4"/>
        <v>0</v>
      </c>
    </row>
    <row r="49" spans="1:39" s="251" customFormat="1" ht="43.5" hidden="1" customHeight="1" x14ac:dyDescent="0.2">
      <c r="A49" s="246" t="s">
        <v>203</v>
      </c>
      <c r="B49" s="247"/>
      <c r="C49" s="247"/>
      <c r="D49" s="247"/>
      <c r="E49" s="247"/>
      <c r="F49" s="248"/>
      <c r="G49" s="249"/>
      <c r="H49" s="249"/>
      <c r="I49" s="249"/>
      <c r="J49" s="250"/>
      <c r="K49" s="250"/>
      <c r="L49" s="250"/>
      <c r="M49" s="250"/>
      <c r="N49" s="250"/>
      <c r="O49" s="250"/>
      <c r="P49" s="250"/>
      <c r="Q49" s="250"/>
      <c r="R49" s="250"/>
      <c r="S49" s="250"/>
      <c r="T49" s="250"/>
      <c r="U49" s="250"/>
      <c r="V49" s="250"/>
      <c r="W49" s="250"/>
      <c r="X49" s="250"/>
      <c r="Y49" s="250"/>
      <c r="Z49" s="250"/>
      <c r="AA49" s="250"/>
      <c r="AB49" s="250"/>
      <c r="AC49" s="250"/>
      <c r="AD49" s="250"/>
      <c r="AE49" s="250"/>
      <c r="AF49" s="250"/>
      <c r="AG49" s="250"/>
      <c r="AH49" s="250"/>
      <c r="AI49" s="250"/>
      <c r="AJ49" s="250"/>
      <c r="AK49" s="250"/>
      <c r="AL49" s="224">
        <f t="shared" si="3"/>
        <v>0</v>
      </c>
      <c r="AM49" s="225">
        <f t="shared" si="4"/>
        <v>0</v>
      </c>
    </row>
    <row r="50" spans="1:39" s="253" customFormat="1" ht="39" hidden="1" customHeight="1" x14ac:dyDescent="0.2">
      <c r="A50" s="242" t="s">
        <v>204</v>
      </c>
      <c r="B50" s="252"/>
      <c r="C50" s="252"/>
      <c r="D50" s="252"/>
      <c r="E50" s="252"/>
      <c r="F50" s="244">
        <v>0</v>
      </c>
      <c r="G50" s="244"/>
      <c r="H50" s="244"/>
      <c r="I50" s="244"/>
      <c r="J50" s="244">
        <v>0</v>
      </c>
      <c r="K50" s="244"/>
      <c r="L50" s="244"/>
      <c r="M50" s="244"/>
      <c r="N50" s="244">
        <v>0</v>
      </c>
      <c r="O50" s="244"/>
      <c r="P50" s="244"/>
      <c r="Q50" s="244"/>
      <c r="R50" s="244">
        <v>0</v>
      </c>
      <c r="S50" s="244"/>
      <c r="T50" s="244"/>
      <c r="U50" s="244"/>
      <c r="V50" s="244">
        <v>0</v>
      </c>
      <c r="W50" s="244"/>
      <c r="X50" s="244"/>
      <c r="Y50" s="244"/>
      <c r="Z50" s="244">
        <v>0</v>
      </c>
      <c r="AA50" s="244"/>
      <c r="AB50" s="244"/>
      <c r="AC50" s="244"/>
      <c r="AD50" s="244">
        <v>0</v>
      </c>
      <c r="AE50" s="244"/>
      <c r="AF50" s="244"/>
      <c r="AG50" s="244"/>
      <c r="AH50" s="244">
        <v>0</v>
      </c>
      <c r="AI50" s="851"/>
      <c r="AJ50" s="851"/>
      <c r="AK50" s="851"/>
      <c r="AL50" s="224">
        <f t="shared" si="3"/>
        <v>0</v>
      </c>
      <c r="AM50" s="225">
        <f t="shared" si="4"/>
        <v>0</v>
      </c>
    </row>
    <row r="51" spans="1:39" s="261" customFormat="1" ht="20.100000000000001" hidden="1" customHeight="1" x14ac:dyDescent="0.2">
      <c r="A51" s="234" t="s">
        <v>205</v>
      </c>
      <c r="B51" s="235"/>
      <c r="C51" s="235"/>
      <c r="D51" s="235"/>
      <c r="E51" s="235"/>
      <c r="F51" s="255"/>
      <c r="G51" s="255"/>
      <c r="H51" s="255"/>
      <c r="I51" s="255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7"/>
      <c r="AJ51" s="257"/>
      <c r="AK51" s="257"/>
      <c r="AL51" s="224">
        <f t="shared" si="3"/>
        <v>0</v>
      </c>
      <c r="AM51" s="225">
        <f t="shared" si="4"/>
        <v>0</v>
      </c>
    </row>
    <row r="52" spans="1:39" s="261" customFormat="1" ht="20.100000000000001" hidden="1" customHeight="1" x14ac:dyDescent="0.2">
      <c r="A52" s="234" t="s">
        <v>206</v>
      </c>
      <c r="B52" s="235"/>
      <c r="C52" s="235"/>
      <c r="D52" s="235"/>
      <c r="E52" s="235"/>
      <c r="F52" s="255"/>
      <c r="G52" s="255"/>
      <c r="H52" s="255"/>
      <c r="I52" s="255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259"/>
      <c r="AI52" s="257"/>
      <c r="AJ52" s="257"/>
      <c r="AK52" s="257"/>
      <c r="AL52" s="224">
        <f t="shared" si="3"/>
        <v>0</v>
      </c>
      <c r="AM52" s="225">
        <f t="shared" si="4"/>
        <v>0</v>
      </c>
    </row>
    <row r="53" spans="1:39" s="261" customFormat="1" ht="27.75" hidden="1" customHeight="1" x14ac:dyDescent="0.2">
      <c r="A53" s="234" t="s">
        <v>207</v>
      </c>
      <c r="B53" s="235"/>
      <c r="C53" s="235"/>
      <c r="D53" s="235"/>
      <c r="E53" s="235"/>
      <c r="F53" s="255"/>
      <c r="G53" s="255"/>
      <c r="H53" s="255"/>
      <c r="I53" s="255"/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259"/>
      <c r="AI53" s="257"/>
      <c r="AJ53" s="257"/>
      <c r="AK53" s="257"/>
      <c r="AL53" s="224">
        <f t="shared" si="3"/>
        <v>0</v>
      </c>
      <c r="AM53" s="225">
        <f t="shared" si="4"/>
        <v>0</v>
      </c>
    </row>
    <row r="54" spans="1:39" s="261" customFormat="1" ht="20.100000000000001" hidden="1" customHeight="1" x14ac:dyDescent="0.2">
      <c r="A54" s="234" t="s">
        <v>208</v>
      </c>
      <c r="B54" s="235"/>
      <c r="C54" s="235"/>
      <c r="D54" s="235"/>
      <c r="E54" s="235"/>
      <c r="F54" s="255"/>
      <c r="G54" s="255"/>
      <c r="H54" s="255"/>
      <c r="I54" s="255"/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259"/>
      <c r="AI54" s="257"/>
      <c r="AJ54" s="257"/>
      <c r="AK54" s="257"/>
      <c r="AL54" s="224">
        <f t="shared" si="3"/>
        <v>0</v>
      </c>
      <c r="AM54" s="225">
        <f t="shared" si="4"/>
        <v>0</v>
      </c>
    </row>
    <row r="55" spans="1:39" s="261" customFormat="1" ht="20.100000000000001" hidden="1" customHeight="1" x14ac:dyDescent="0.2">
      <c r="A55" s="234" t="s">
        <v>209</v>
      </c>
      <c r="B55" s="235"/>
      <c r="C55" s="235"/>
      <c r="D55" s="235"/>
      <c r="E55" s="235"/>
      <c r="F55" s="255"/>
      <c r="G55" s="255"/>
      <c r="H55" s="255"/>
      <c r="I55" s="255"/>
      <c r="J55" s="259"/>
      <c r="K55" s="259"/>
      <c r="L55" s="259"/>
      <c r="M55" s="259"/>
      <c r="N55" s="259"/>
      <c r="O55" s="259"/>
      <c r="P55" s="259"/>
      <c r="Q55" s="259"/>
      <c r="R55" s="259"/>
      <c r="S55" s="259"/>
      <c r="T55" s="259"/>
      <c r="U55" s="259"/>
      <c r="V55" s="259"/>
      <c r="W55" s="259"/>
      <c r="X55" s="259"/>
      <c r="Y55" s="259"/>
      <c r="Z55" s="259"/>
      <c r="AA55" s="259"/>
      <c r="AB55" s="259"/>
      <c r="AC55" s="259"/>
      <c r="AD55" s="259"/>
      <c r="AE55" s="259"/>
      <c r="AF55" s="259"/>
      <c r="AG55" s="259"/>
      <c r="AH55" s="259"/>
      <c r="AI55" s="257"/>
      <c r="AJ55" s="257"/>
      <c r="AK55" s="257"/>
      <c r="AL55" s="224">
        <f t="shared" si="3"/>
        <v>0</v>
      </c>
      <c r="AM55" s="225">
        <f t="shared" si="4"/>
        <v>0</v>
      </c>
    </row>
    <row r="56" spans="1:39" s="261" customFormat="1" ht="20.100000000000001" hidden="1" customHeight="1" x14ac:dyDescent="0.2">
      <c r="A56" s="234" t="s">
        <v>210</v>
      </c>
      <c r="B56" s="235"/>
      <c r="C56" s="235"/>
      <c r="D56" s="235"/>
      <c r="E56" s="235"/>
      <c r="F56" s="255"/>
      <c r="G56" s="255"/>
      <c r="H56" s="255"/>
      <c r="I56" s="255"/>
      <c r="J56" s="259"/>
      <c r="K56" s="259"/>
      <c r="L56" s="259"/>
      <c r="M56" s="259"/>
      <c r="N56" s="259"/>
      <c r="O56" s="259"/>
      <c r="P56" s="259"/>
      <c r="Q56" s="259"/>
      <c r="R56" s="259"/>
      <c r="S56" s="259"/>
      <c r="T56" s="259"/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59"/>
      <c r="AF56" s="259"/>
      <c r="AG56" s="259"/>
      <c r="AH56" s="259"/>
      <c r="AI56" s="257"/>
      <c r="AJ56" s="257"/>
      <c r="AK56" s="257"/>
      <c r="AL56" s="224">
        <f t="shared" si="3"/>
        <v>0</v>
      </c>
      <c r="AM56" s="225">
        <f t="shared" si="4"/>
        <v>0</v>
      </c>
    </row>
    <row r="57" spans="1:39" s="261" customFormat="1" ht="26.25" hidden="1" customHeight="1" x14ac:dyDescent="0.2">
      <c r="A57" s="234" t="s">
        <v>211</v>
      </c>
      <c r="B57" s="235"/>
      <c r="C57" s="235"/>
      <c r="D57" s="235"/>
      <c r="E57" s="235"/>
      <c r="F57" s="255"/>
      <c r="G57" s="255"/>
      <c r="H57" s="255"/>
      <c r="I57" s="255"/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59"/>
      <c r="X57" s="259"/>
      <c r="Y57" s="259"/>
      <c r="Z57" s="259"/>
      <c r="AA57" s="259"/>
      <c r="AB57" s="259"/>
      <c r="AC57" s="259"/>
      <c r="AD57" s="259"/>
      <c r="AE57" s="259"/>
      <c r="AF57" s="259"/>
      <c r="AG57" s="259"/>
      <c r="AH57" s="259"/>
      <c r="AI57" s="257"/>
      <c r="AJ57" s="257"/>
      <c r="AK57" s="257"/>
      <c r="AL57" s="224">
        <f t="shared" si="3"/>
        <v>0</v>
      </c>
      <c r="AM57" s="225">
        <f t="shared" si="4"/>
        <v>0</v>
      </c>
    </row>
    <row r="58" spans="1:39" s="261" customFormat="1" ht="20.100000000000001" hidden="1" customHeight="1" x14ac:dyDescent="0.2">
      <c r="A58" s="234" t="s">
        <v>212</v>
      </c>
      <c r="B58" s="235"/>
      <c r="C58" s="235"/>
      <c r="D58" s="235"/>
      <c r="E58" s="235"/>
      <c r="F58" s="255"/>
      <c r="G58" s="255"/>
      <c r="H58" s="255"/>
      <c r="I58" s="255"/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/>
      <c r="Z58" s="259"/>
      <c r="AA58" s="259"/>
      <c r="AB58" s="259"/>
      <c r="AC58" s="259"/>
      <c r="AD58" s="259"/>
      <c r="AE58" s="259"/>
      <c r="AF58" s="259"/>
      <c r="AG58" s="259"/>
      <c r="AH58" s="259"/>
      <c r="AI58" s="257"/>
      <c r="AJ58" s="257"/>
      <c r="AK58" s="257"/>
      <c r="AL58" s="224">
        <f t="shared" si="3"/>
        <v>0</v>
      </c>
      <c r="AM58" s="225">
        <f t="shared" si="4"/>
        <v>0</v>
      </c>
    </row>
    <row r="59" spans="1:39" s="261" customFormat="1" ht="27" hidden="1" customHeight="1" x14ac:dyDescent="0.2">
      <c r="A59" s="234" t="s">
        <v>213</v>
      </c>
      <c r="B59" s="235"/>
      <c r="C59" s="235"/>
      <c r="D59" s="235"/>
      <c r="E59" s="235"/>
      <c r="F59" s="255"/>
      <c r="G59" s="255"/>
      <c r="H59" s="255"/>
      <c r="I59" s="255"/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59"/>
      <c r="V59" s="259"/>
      <c r="W59" s="259"/>
      <c r="X59" s="259"/>
      <c r="Y59" s="259"/>
      <c r="Z59" s="259"/>
      <c r="AA59" s="259"/>
      <c r="AB59" s="259"/>
      <c r="AC59" s="259"/>
      <c r="AD59" s="259"/>
      <c r="AE59" s="259"/>
      <c r="AF59" s="259"/>
      <c r="AG59" s="259"/>
      <c r="AH59" s="259"/>
      <c r="AI59" s="257"/>
      <c r="AJ59" s="257"/>
      <c r="AK59" s="257"/>
      <c r="AL59" s="224">
        <f t="shared" si="3"/>
        <v>0</v>
      </c>
      <c r="AM59" s="225">
        <f t="shared" si="4"/>
        <v>0</v>
      </c>
    </row>
    <row r="60" spans="1:39" s="261" customFormat="1" ht="28.5" hidden="1" customHeight="1" x14ac:dyDescent="0.2">
      <c r="A60" s="234" t="s">
        <v>214</v>
      </c>
      <c r="B60" s="235"/>
      <c r="C60" s="235"/>
      <c r="D60" s="235"/>
      <c r="E60" s="235"/>
      <c r="F60" s="255"/>
      <c r="G60" s="255"/>
      <c r="H60" s="255"/>
      <c r="I60" s="255"/>
      <c r="J60" s="259"/>
      <c r="K60" s="259"/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  <c r="Z60" s="259"/>
      <c r="AA60" s="259"/>
      <c r="AB60" s="259"/>
      <c r="AC60" s="259"/>
      <c r="AD60" s="259"/>
      <c r="AE60" s="259"/>
      <c r="AF60" s="259"/>
      <c r="AG60" s="259"/>
      <c r="AH60" s="259"/>
      <c r="AI60" s="257"/>
      <c r="AJ60" s="257"/>
      <c r="AK60" s="257"/>
      <c r="AL60" s="224">
        <f t="shared" si="3"/>
        <v>0</v>
      </c>
      <c r="AM60" s="225">
        <f t="shared" si="4"/>
        <v>0</v>
      </c>
    </row>
    <row r="61" spans="1:39" s="253" customFormat="1" ht="40.5" hidden="1" customHeight="1" x14ac:dyDescent="0.2">
      <c r="A61" s="242" t="s">
        <v>215</v>
      </c>
      <c r="B61" s="252"/>
      <c r="C61" s="252"/>
      <c r="D61" s="252"/>
      <c r="E61" s="252"/>
      <c r="F61" s="270">
        <v>0</v>
      </c>
      <c r="G61" s="270"/>
      <c r="H61" s="270"/>
      <c r="I61" s="270"/>
      <c r="J61" s="270">
        <v>0</v>
      </c>
      <c r="K61" s="270"/>
      <c r="L61" s="270"/>
      <c r="M61" s="270"/>
      <c r="N61" s="270">
        <v>0</v>
      </c>
      <c r="O61" s="270"/>
      <c r="P61" s="270"/>
      <c r="Q61" s="270"/>
      <c r="R61" s="270">
        <v>0</v>
      </c>
      <c r="S61" s="270"/>
      <c r="T61" s="270"/>
      <c r="U61" s="270"/>
      <c r="V61" s="270">
        <v>0</v>
      </c>
      <c r="W61" s="270"/>
      <c r="X61" s="270">
        <v>1</v>
      </c>
      <c r="Y61" s="270"/>
      <c r="Z61" s="270">
        <v>0</v>
      </c>
      <c r="AA61" s="270"/>
      <c r="AB61" s="270"/>
      <c r="AC61" s="270"/>
      <c r="AD61" s="270">
        <v>0</v>
      </c>
      <c r="AE61" s="270"/>
      <c r="AF61" s="270"/>
      <c r="AG61" s="270"/>
      <c r="AH61" s="270">
        <v>0</v>
      </c>
      <c r="AI61" s="852"/>
      <c r="AJ61" s="852"/>
      <c r="AK61" s="852"/>
      <c r="AL61" s="224">
        <f t="shared" si="3"/>
        <v>0</v>
      </c>
      <c r="AM61" s="225">
        <f t="shared" si="4"/>
        <v>0</v>
      </c>
    </row>
    <row r="62" spans="1:39" s="271" customFormat="1" ht="20.100000000000001" hidden="1" customHeight="1" x14ac:dyDescent="0.2">
      <c r="A62" s="234" t="s">
        <v>216</v>
      </c>
      <c r="B62" s="254"/>
      <c r="C62" s="254"/>
      <c r="D62" s="254"/>
      <c r="E62" s="254"/>
      <c r="F62" s="255"/>
      <c r="G62" s="256"/>
      <c r="H62" s="256"/>
      <c r="I62" s="256"/>
      <c r="J62" s="257"/>
      <c r="K62" s="257"/>
      <c r="L62" s="257"/>
      <c r="M62" s="257"/>
      <c r="N62" s="257"/>
      <c r="O62" s="257"/>
      <c r="P62" s="257"/>
      <c r="Q62" s="257"/>
      <c r="R62" s="257"/>
      <c r="S62" s="257"/>
      <c r="T62" s="257"/>
      <c r="U62" s="257"/>
      <c r="V62" s="257"/>
      <c r="W62" s="257"/>
      <c r="X62" s="257"/>
      <c r="Y62" s="257"/>
      <c r="Z62" s="257"/>
      <c r="AA62" s="257"/>
      <c r="AB62" s="257"/>
      <c r="AC62" s="257"/>
      <c r="AD62" s="257"/>
      <c r="AE62" s="257"/>
      <c r="AF62" s="257"/>
      <c r="AG62" s="257"/>
      <c r="AH62" s="257"/>
      <c r="AI62" s="257"/>
      <c r="AJ62" s="257"/>
      <c r="AK62" s="257"/>
      <c r="AL62" s="224">
        <f t="shared" si="3"/>
        <v>0</v>
      </c>
      <c r="AM62" s="225">
        <f t="shared" si="4"/>
        <v>0</v>
      </c>
    </row>
    <row r="63" spans="1:39" s="261" customFormat="1" ht="20.100000000000001" hidden="1" customHeight="1" x14ac:dyDescent="0.2">
      <c r="A63" s="234" t="s">
        <v>217</v>
      </c>
      <c r="B63" s="235"/>
      <c r="C63" s="235"/>
      <c r="D63" s="235"/>
      <c r="E63" s="235"/>
      <c r="F63" s="255"/>
      <c r="G63" s="255"/>
      <c r="H63" s="255"/>
      <c r="I63" s="255"/>
      <c r="J63" s="259"/>
      <c r="K63" s="259"/>
      <c r="L63" s="259"/>
      <c r="M63" s="259"/>
      <c r="N63" s="259"/>
      <c r="O63" s="259"/>
      <c r="P63" s="259"/>
      <c r="Q63" s="259"/>
      <c r="R63" s="259"/>
      <c r="S63" s="259"/>
      <c r="T63" s="259"/>
      <c r="U63" s="259"/>
      <c r="V63" s="259"/>
      <c r="W63" s="259"/>
      <c r="X63" s="259"/>
      <c r="Y63" s="259"/>
      <c r="Z63" s="259"/>
      <c r="AA63" s="259"/>
      <c r="AB63" s="259"/>
      <c r="AC63" s="259"/>
      <c r="AD63" s="259"/>
      <c r="AE63" s="259"/>
      <c r="AF63" s="259"/>
      <c r="AG63" s="259"/>
      <c r="AH63" s="259"/>
      <c r="AI63" s="257"/>
      <c r="AJ63" s="257"/>
      <c r="AK63" s="257"/>
      <c r="AL63" s="224">
        <f t="shared" si="3"/>
        <v>0</v>
      </c>
      <c r="AM63" s="225">
        <f t="shared" si="4"/>
        <v>0</v>
      </c>
    </row>
    <row r="64" spans="1:39" s="261" customFormat="1" ht="28.5" hidden="1" customHeight="1" x14ac:dyDescent="0.2">
      <c r="A64" s="234" t="s">
        <v>218</v>
      </c>
      <c r="B64" s="235"/>
      <c r="C64" s="235"/>
      <c r="D64" s="235"/>
      <c r="E64" s="235"/>
      <c r="F64" s="255"/>
      <c r="G64" s="255"/>
      <c r="H64" s="255"/>
      <c r="I64" s="255"/>
      <c r="J64" s="259"/>
      <c r="K64" s="259"/>
      <c r="L64" s="259"/>
      <c r="M64" s="259"/>
      <c r="N64" s="259"/>
      <c r="O64" s="259"/>
      <c r="P64" s="259"/>
      <c r="Q64" s="259"/>
      <c r="R64" s="259"/>
      <c r="S64" s="259"/>
      <c r="T64" s="259"/>
      <c r="U64" s="259"/>
      <c r="V64" s="259"/>
      <c r="W64" s="259"/>
      <c r="X64" s="259"/>
      <c r="Y64" s="259"/>
      <c r="Z64" s="259"/>
      <c r="AA64" s="259"/>
      <c r="AB64" s="259"/>
      <c r="AC64" s="259"/>
      <c r="AD64" s="259"/>
      <c r="AE64" s="259"/>
      <c r="AF64" s="259"/>
      <c r="AG64" s="259"/>
      <c r="AH64" s="259"/>
      <c r="AI64" s="257"/>
      <c r="AJ64" s="257"/>
      <c r="AK64" s="257"/>
      <c r="AL64" s="224">
        <f t="shared" si="3"/>
        <v>0</v>
      </c>
      <c r="AM64" s="225">
        <f t="shared" si="4"/>
        <v>0</v>
      </c>
    </row>
    <row r="65" spans="1:39" s="261" customFormat="1" ht="20.100000000000001" hidden="1" customHeight="1" x14ac:dyDescent="0.2">
      <c r="A65" s="234" t="s">
        <v>219</v>
      </c>
      <c r="B65" s="235"/>
      <c r="C65" s="235"/>
      <c r="D65" s="235"/>
      <c r="E65" s="235"/>
      <c r="F65" s="255"/>
      <c r="G65" s="255"/>
      <c r="H65" s="255"/>
      <c r="I65" s="255"/>
      <c r="J65" s="259"/>
      <c r="K65" s="259"/>
      <c r="L65" s="259"/>
      <c r="M65" s="259"/>
      <c r="N65" s="259"/>
      <c r="O65" s="259"/>
      <c r="P65" s="259"/>
      <c r="Q65" s="259"/>
      <c r="R65" s="259"/>
      <c r="S65" s="259"/>
      <c r="T65" s="259"/>
      <c r="U65" s="259"/>
      <c r="V65" s="259"/>
      <c r="W65" s="259"/>
      <c r="X65" s="259"/>
      <c r="Y65" s="259"/>
      <c r="Z65" s="259"/>
      <c r="AA65" s="259"/>
      <c r="AB65" s="259"/>
      <c r="AC65" s="259"/>
      <c r="AD65" s="259"/>
      <c r="AE65" s="259"/>
      <c r="AF65" s="259"/>
      <c r="AG65" s="259"/>
      <c r="AH65" s="259"/>
      <c r="AI65" s="257"/>
      <c r="AJ65" s="257"/>
      <c r="AK65" s="257"/>
      <c r="AL65" s="224">
        <f t="shared" si="3"/>
        <v>0</v>
      </c>
      <c r="AM65" s="225">
        <f t="shared" si="4"/>
        <v>0</v>
      </c>
    </row>
    <row r="66" spans="1:39" s="261" customFormat="1" ht="20.100000000000001" hidden="1" customHeight="1" x14ac:dyDescent="0.2">
      <c r="A66" s="234" t="s">
        <v>220</v>
      </c>
      <c r="B66" s="235"/>
      <c r="C66" s="235"/>
      <c r="D66" s="235"/>
      <c r="E66" s="235"/>
      <c r="F66" s="255"/>
      <c r="G66" s="255"/>
      <c r="H66" s="255"/>
      <c r="I66" s="255"/>
      <c r="J66" s="259"/>
      <c r="K66" s="259"/>
      <c r="L66" s="259"/>
      <c r="M66" s="259"/>
      <c r="N66" s="259"/>
      <c r="O66" s="259"/>
      <c r="P66" s="259"/>
      <c r="Q66" s="259"/>
      <c r="R66" s="259"/>
      <c r="S66" s="259"/>
      <c r="T66" s="259"/>
      <c r="U66" s="259"/>
      <c r="V66" s="259"/>
      <c r="W66" s="259"/>
      <c r="X66" s="259"/>
      <c r="Y66" s="259"/>
      <c r="Z66" s="259"/>
      <c r="AA66" s="259"/>
      <c r="AB66" s="259"/>
      <c r="AC66" s="259"/>
      <c r="AD66" s="259"/>
      <c r="AE66" s="259"/>
      <c r="AF66" s="259"/>
      <c r="AG66" s="259"/>
      <c r="AH66" s="259"/>
      <c r="AI66" s="257"/>
      <c r="AJ66" s="257"/>
      <c r="AK66" s="257"/>
      <c r="AL66" s="224">
        <f t="shared" si="3"/>
        <v>0</v>
      </c>
      <c r="AM66" s="225">
        <f t="shared" si="4"/>
        <v>0</v>
      </c>
    </row>
    <row r="67" spans="1:39" s="261" customFormat="1" ht="20.100000000000001" hidden="1" customHeight="1" x14ac:dyDescent="0.2">
      <c r="A67" s="234" t="s">
        <v>221</v>
      </c>
      <c r="B67" s="235"/>
      <c r="C67" s="235"/>
      <c r="D67" s="235"/>
      <c r="E67" s="235"/>
      <c r="F67" s="255"/>
      <c r="G67" s="255"/>
      <c r="H67" s="255"/>
      <c r="I67" s="255"/>
      <c r="J67" s="259"/>
      <c r="K67" s="259"/>
      <c r="L67" s="259"/>
      <c r="M67" s="259"/>
      <c r="N67" s="259"/>
      <c r="O67" s="259"/>
      <c r="P67" s="259"/>
      <c r="Q67" s="259"/>
      <c r="R67" s="259"/>
      <c r="S67" s="259"/>
      <c r="T67" s="259"/>
      <c r="U67" s="259"/>
      <c r="V67" s="259"/>
      <c r="W67" s="259"/>
      <c r="X67" s="259"/>
      <c r="Y67" s="259"/>
      <c r="Z67" s="259"/>
      <c r="AA67" s="259"/>
      <c r="AB67" s="259"/>
      <c r="AC67" s="259"/>
      <c r="AD67" s="259"/>
      <c r="AE67" s="259"/>
      <c r="AF67" s="259"/>
      <c r="AG67" s="259"/>
      <c r="AH67" s="259"/>
      <c r="AI67" s="257"/>
      <c r="AJ67" s="257"/>
      <c r="AK67" s="257"/>
      <c r="AL67" s="224">
        <f t="shared" si="3"/>
        <v>0</v>
      </c>
      <c r="AM67" s="225">
        <f t="shared" si="4"/>
        <v>0</v>
      </c>
    </row>
    <row r="68" spans="1:39" s="261" customFormat="1" ht="27" hidden="1" customHeight="1" x14ac:dyDescent="0.2">
      <c r="A68" s="234" t="s">
        <v>222</v>
      </c>
      <c r="B68" s="235"/>
      <c r="C68" s="235"/>
      <c r="D68" s="235"/>
      <c r="E68" s="235"/>
      <c r="F68" s="255"/>
      <c r="G68" s="255"/>
      <c r="H68" s="255"/>
      <c r="I68" s="255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7"/>
      <c r="AJ68" s="257"/>
      <c r="AK68" s="257"/>
      <c r="AL68" s="224">
        <f t="shared" ref="AL68:AL131" si="10">F68+J68+N68+R68+V68+Z68+AD68+AH68</f>
        <v>0</v>
      </c>
      <c r="AM68" s="225">
        <f t="shared" ref="AM68:AM131" si="11">J68+N68+R68+V68+Z68+AD68+AH68</f>
        <v>0</v>
      </c>
    </row>
    <row r="69" spans="1:39" s="261" customFormat="1" ht="20.100000000000001" hidden="1" customHeight="1" x14ac:dyDescent="0.2">
      <c r="A69" s="234" t="s">
        <v>223</v>
      </c>
      <c r="B69" s="235"/>
      <c r="C69" s="235"/>
      <c r="D69" s="235"/>
      <c r="E69" s="235"/>
      <c r="F69" s="255"/>
      <c r="G69" s="255"/>
      <c r="H69" s="255"/>
      <c r="I69" s="255"/>
      <c r="J69" s="259"/>
      <c r="K69" s="259"/>
      <c r="L69" s="259"/>
      <c r="M69" s="259"/>
      <c r="N69" s="259"/>
      <c r="O69" s="259"/>
      <c r="P69" s="259"/>
      <c r="Q69" s="259"/>
      <c r="R69" s="259"/>
      <c r="S69" s="259"/>
      <c r="T69" s="259"/>
      <c r="U69" s="259"/>
      <c r="V69" s="259"/>
      <c r="W69" s="259"/>
      <c r="X69" s="259"/>
      <c r="Y69" s="259"/>
      <c r="Z69" s="259"/>
      <c r="AA69" s="259"/>
      <c r="AB69" s="259"/>
      <c r="AC69" s="259"/>
      <c r="AD69" s="259"/>
      <c r="AE69" s="259"/>
      <c r="AF69" s="259"/>
      <c r="AG69" s="259"/>
      <c r="AH69" s="259"/>
      <c r="AI69" s="257"/>
      <c r="AJ69" s="257"/>
      <c r="AK69" s="257"/>
      <c r="AL69" s="224">
        <f t="shared" si="10"/>
        <v>0</v>
      </c>
      <c r="AM69" s="225">
        <f t="shared" si="11"/>
        <v>0</v>
      </c>
    </row>
    <row r="70" spans="1:39" s="261" customFormat="1" ht="29.25" hidden="1" customHeight="1" x14ac:dyDescent="0.2">
      <c r="A70" s="234" t="s">
        <v>224</v>
      </c>
      <c r="B70" s="235"/>
      <c r="C70" s="235"/>
      <c r="D70" s="235"/>
      <c r="E70" s="235"/>
      <c r="F70" s="255"/>
      <c r="G70" s="255"/>
      <c r="H70" s="255"/>
      <c r="I70" s="255"/>
      <c r="J70" s="259"/>
      <c r="K70" s="259"/>
      <c r="L70" s="259"/>
      <c r="M70" s="259"/>
      <c r="N70" s="259"/>
      <c r="O70" s="259"/>
      <c r="P70" s="259"/>
      <c r="Q70" s="259"/>
      <c r="R70" s="259"/>
      <c r="S70" s="259"/>
      <c r="T70" s="259"/>
      <c r="U70" s="259"/>
      <c r="V70" s="259"/>
      <c r="W70" s="259"/>
      <c r="X70" s="259"/>
      <c r="Y70" s="259"/>
      <c r="Z70" s="259"/>
      <c r="AA70" s="259"/>
      <c r="AB70" s="259"/>
      <c r="AC70" s="259"/>
      <c r="AD70" s="259"/>
      <c r="AE70" s="259"/>
      <c r="AF70" s="259"/>
      <c r="AG70" s="259"/>
      <c r="AH70" s="259"/>
      <c r="AI70" s="257"/>
      <c r="AJ70" s="257"/>
      <c r="AK70" s="257"/>
      <c r="AL70" s="224">
        <f t="shared" si="10"/>
        <v>0</v>
      </c>
      <c r="AM70" s="225">
        <f t="shared" si="11"/>
        <v>0</v>
      </c>
    </row>
    <row r="71" spans="1:39" s="261" customFormat="1" ht="31.5" hidden="1" customHeight="1" x14ac:dyDescent="0.2">
      <c r="A71" s="234" t="s">
        <v>225</v>
      </c>
      <c r="B71" s="235"/>
      <c r="C71" s="235"/>
      <c r="D71" s="235"/>
      <c r="E71" s="235"/>
      <c r="F71" s="255"/>
      <c r="G71" s="255"/>
      <c r="H71" s="255"/>
      <c r="I71" s="255"/>
      <c r="J71" s="259"/>
      <c r="K71" s="259"/>
      <c r="L71" s="259"/>
      <c r="M71" s="259"/>
      <c r="N71" s="259"/>
      <c r="O71" s="259"/>
      <c r="P71" s="259"/>
      <c r="Q71" s="259"/>
      <c r="R71" s="259"/>
      <c r="S71" s="259"/>
      <c r="T71" s="259"/>
      <c r="U71" s="259"/>
      <c r="V71" s="259"/>
      <c r="W71" s="259"/>
      <c r="X71" s="259"/>
      <c r="Y71" s="259"/>
      <c r="Z71" s="259"/>
      <c r="AA71" s="259"/>
      <c r="AB71" s="259"/>
      <c r="AC71" s="259"/>
      <c r="AD71" s="259"/>
      <c r="AE71" s="259"/>
      <c r="AF71" s="259"/>
      <c r="AG71" s="259"/>
      <c r="AH71" s="259"/>
      <c r="AI71" s="257"/>
      <c r="AJ71" s="257"/>
      <c r="AK71" s="257"/>
      <c r="AL71" s="224">
        <f t="shared" si="10"/>
        <v>0</v>
      </c>
      <c r="AM71" s="225">
        <f t="shared" si="11"/>
        <v>0</v>
      </c>
    </row>
    <row r="72" spans="1:39" s="245" customFormat="1" ht="30.75" customHeight="1" x14ac:dyDescent="0.2">
      <c r="A72" s="1061" t="s">
        <v>1100</v>
      </c>
      <c r="B72" s="247"/>
      <c r="C72" s="247">
        <f>+C79</f>
        <v>87464</v>
      </c>
      <c r="D72" s="247">
        <f>+D79</f>
        <v>87464</v>
      </c>
      <c r="E72" s="247"/>
      <c r="F72" s="248">
        <v>87464</v>
      </c>
      <c r="G72" s="248"/>
      <c r="H72" s="248"/>
      <c r="I72" s="248"/>
      <c r="J72" s="248">
        <v>0</v>
      </c>
      <c r="K72" s="248"/>
      <c r="L72" s="248"/>
      <c r="M72" s="248"/>
      <c r="N72" s="248">
        <v>0</v>
      </c>
      <c r="O72" s="248"/>
      <c r="P72" s="248"/>
      <c r="Q72" s="248"/>
      <c r="R72" s="248">
        <v>0</v>
      </c>
      <c r="S72" s="248"/>
      <c r="T72" s="248"/>
      <c r="U72" s="248"/>
      <c r="V72" s="248">
        <v>0</v>
      </c>
      <c r="W72" s="248"/>
      <c r="X72" s="248"/>
      <c r="Y72" s="248"/>
      <c r="Z72" s="248">
        <v>0</v>
      </c>
      <c r="AA72" s="248"/>
      <c r="AB72" s="248"/>
      <c r="AC72" s="248"/>
      <c r="AD72" s="248">
        <v>0</v>
      </c>
      <c r="AE72" s="248"/>
      <c r="AF72" s="248"/>
      <c r="AG72" s="248"/>
      <c r="AH72" s="248">
        <v>0</v>
      </c>
      <c r="AI72" s="224">
        <f t="shared" ref="AI72:AI135" si="12">C72+G72+K72+O72+S72+W72+AA72+AE72</f>
        <v>87464</v>
      </c>
      <c r="AJ72" s="224">
        <f t="shared" ref="AJ72:AJ135" si="13">D72+H72+L72+P72+T72+X72+AB72+AF72</f>
        <v>87464</v>
      </c>
      <c r="AK72" s="224">
        <f t="shared" ref="AK72:AK135" si="14">E72+I72+M72+Q72+U72+Y72+AC72+AG72</f>
        <v>0</v>
      </c>
      <c r="AL72" s="224">
        <f t="shared" si="10"/>
        <v>87464</v>
      </c>
      <c r="AM72" s="225">
        <f t="shared" si="11"/>
        <v>0</v>
      </c>
    </row>
    <row r="73" spans="1:39" s="264" customFormat="1" ht="20.100000000000001" hidden="1" customHeight="1" x14ac:dyDescent="0.2">
      <c r="A73" s="234" t="s">
        <v>226</v>
      </c>
      <c r="B73" s="254"/>
      <c r="C73" s="254"/>
      <c r="D73" s="254"/>
      <c r="E73" s="254"/>
      <c r="F73" s="255"/>
      <c r="G73" s="256"/>
      <c r="H73" s="256"/>
      <c r="I73" s="256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  <c r="U73" s="257"/>
      <c r="V73" s="257"/>
      <c r="W73" s="257"/>
      <c r="X73" s="257"/>
      <c r="Y73" s="257"/>
      <c r="Z73" s="257"/>
      <c r="AA73" s="257"/>
      <c r="AB73" s="257"/>
      <c r="AC73" s="257"/>
      <c r="AD73" s="257"/>
      <c r="AE73" s="257"/>
      <c r="AF73" s="257"/>
      <c r="AG73" s="257"/>
      <c r="AH73" s="257"/>
      <c r="AI73" s="224">
        <f t="shared" si="12"/>
        <v>0</v>
      </c>
      <c r="AJ73" s="224">
        <f t="shared" si="13"/>
        <v>0</v>
      </c>
      <c r="AK73" s="224">
        <f t="shared" si="14"/>
        <v>0</v>
      </c>
      <c r="AL73" s="224">
        <f t="shared" si="10"/>
        <v>0</v>
      </c>
      <c r="AM73" s="225">
        <f t="shared" si="11"/>
        <v>0</v>
      </c>
    </row>
    <row r="74" spans="1:39" s="238" customFormat="1" ht="20.100000000000001" hidden="1" customHeight="1" x14ac:dyDescent="0.2">
      <c r="A74" s="234" t="s">
        <v>227</v>
      </c>
      <c r="B74" s="235"/>
      <c r="C74" s="235"/>
      <c r="D74" s="235"/>
      <c r="E74" s="235"/>
      <c r="F74" s="255"/>
      <c r="G74" s="255"/>
      <c r="H74" s="255"/>
      <c r="I74" s="255"/>
      <c r="J74" s="259"/>
      <c r="K74" s="259"/>
      <c r="L74" s="259"/>
      <c r="M74" s="259"/>
      <c r="N74" s="259"/>
      <c r="O74" s="259"/>
      <c r="P74" s="259"/>
      <c r="Q74" s="259"/>
      <c r="R74" s="259"/>
      <c r="S74" s="259"/>
      <c r="T74" s="259"/>
      <c r="U74" s="259"/>
      <c r="V74" s="259"/>
      <c r="W74" s="259"/>
      <c r="X74" s="259"/>
      <c r="Y74" s="259"/>
      <c r="Z74" s="259"/>
      <c r="AA74" s="259"/>
      <c r="AB74" s="259"/>
      <c r="AC74" s="259"/>
      <c r="AD74" s="259"/>
      <c r="AE74" s="259"/>
      <c r="AF74" s="259"/>
      <c r="AG74" s="259"/>
      <c r="AH74" s="259"/>
      <c r="AI74" s="224">
        <f t="shared" si="12"/>
        <v>0</v>
      </c>
      <c r="AJ74" s="224">
        <f t="shared" si="13"/>
        <v>0</v>
      </c>
      <c r="AK74" s="224">
        <f t="shared" si="14"/>
        <v>0</v>
      </c>
      <c r="AL74" s="224">
        <f t="shared" si="10"/>
        <v>0</v>
      </c>
      <c r="AM74" s="225">
        <f t="shared" si="11"/>
        <v>0</v>
      </c>
    </row>
    <row r="75" spans="1:39" s="238" customFormat="1" ht="28.5" hidden="1" customHeight="1" x14ac:dyDescent="0.2">
      <c r="A75" s="234" t="s">
        <v>228</v>
      </c>
      <c r="B75" s="235"/>
      <c r="C75" s="235"/>
      <c r="D75" s="235"/>
      <c r="E75" s="235"/>
      <c r="F75" s="255"/>
      <c r="G75" s="255"/>
      <c r="H75" s="255"/>
      <c r="I75" s="255"/>
      <c r="J75" s="259"/>
      <c r="K75" s="259"/>
      <c r="L75" s="259"/>
      <c r="M75" s="259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259"/>
      <c r="AB75" s="259"/>
      <c r="AC75" s="259"/>
      <c r="AD75" s="259"/>
      <c r="AE75" s="259"/>
      <c r="AF75" s="259"/>
      <c r="AG75" s="259"/>
      <c r="AH75" s="259"/>
      <c r="AI75" s="224">
        <f t="shared" si="12"/>
        <v>0</v>
      </c>
      <c r="AJ75" s="224">
        <f t="shared" si="13"/>
        <v>0</v>
      </c>
      <c r="AK75" s="224">
        <f t="shared" si="14"/>
        <v>0</v>
      </c>
      <c r="AL75" s="224">
        <f t="shared" si="10"/>
        <v>0</v>
      </c>
      <c r="AM75" s="225">
        <f t="shared" si="11"/>
        <v>0</v>
      </c>
    </row>
    <row r="76" spans="1:39" s="238" customFormat="1" ht="20.100000000000001" hidden="1" customHeight="1" x14ac:dyDescent="0.2">
      <c r="A76" s="234" t="s">
        <v>229</v>
      </c>
      <c r="B76" s="235"/>
      <c r="C76" s="235"/>
      <c r="D76" s="235"/>
      <c r="E76" s="235"/>
      <c r="F76" s="255">
        <v>0</v>
      </c>
      <c r="G76" s="255"/>
      <c r="H76" s="255"/>
      <c r="I76" s="255"/>
      <c r="J76" s="259"/>
      <c r="K76" s="259"/>
      <c r="L76" s="259"/>
      <c r="M76" s="259"/>
      <c r="N76" s="259"/>
      <c r="O76" s="259"/>
      <c r="P76" s="259"/>
      <c r="Q76" s="259"/>
      <c r="R76" s="259"/>
      <c r="S76" s="259"/>
      <c r="T76" s="259"/>
      <c r="U76" s="259"/>
      <c r="V76" s="259"/>
      <c r="W76" s="259"/>
      <c r="X76" s="259"/>
      <c r="Y76" s="259"/>
      <c r="Z76" s="259"/>
      <c r="AA76" s="259"/>
      <c r="AB76" s="259"/>
      <c r="AC76" s="259"/>
      <c r="AD76" s="259"/>
      <c r="AE76" s="259"/>
      <c r="AF76" s="259"/>
      <c r="AG76" s="259"/>
      <c r="AH76" s="259"/>
      <c r="AI76" s="224">
        <f t="shared" si="12"/>
        <v>0</v>
      </c>
      <c r="AJ76" s="224">
        <f t="shared" si="13"/>
        <v>0</v>
      </c>
      <c r="AK76" s="224">
        <f t="shared" si="14"/>
        <v>0</v>
      </c>
      <c r="AL76" s="224">
        <f t="shared" si="10"/>
        <v>0</v>
      </c>
      <c r="AM76" s="225">
        <f t="shared" si="11"/>
        <v>0</v>
      </c>
    </row>
    <row r="77" spans="1:39" s="238" customFormat="1" ht="20.100000000000001" hidden="1" customHeight="1" x14ac:dyDescent="0.2">
      <c r="A77" s="234" t="s">
        <v>230</v>
      </c>
      <c r="B77" s="235"/>
      <c r="C77" s="235"/>
      <c r="D77" s="235"/>
      <c r="E77" s="235"/>
      <c r="F77" s="255"/>
      <c r="G77" s="255"/>
      <c r="H77" s="255"/>
      <c r="I77" s="255"/>
      <c r="J77" s="259"/>
      <c r="K77" s="259"/>
      <c r="L77" s="259"/>
      <c r="M77" s="259"/>
      <c r="N77" s="259"/>
      <c r="O77" s="259"/>
      <c r="P77" s="259"/>
      <c r="Q77" s="259"/>
      <c r="R77" s="259"/>
      <c r="S77" s="259"/>
      <c r="T77" s="259"/>
      <c r="U77" s="259"/>
      <c r="V77" s="259"/>
      <c r="W77" s="259"/>
      <c r="X77" s="259"/>
      <c r="Y77" s="259"/>
      <c r="Z77" s="259"/>
      <c r="AA77" s="259"/>
      <c r="AB77" s="259"/>
      <c r="AC77" s="259"/>
      <c r="AD77" s="259"/>
      <c r="AE77" s="259"/>
      <c r="AF77" s="259"/>
      <c r="AG77" s="259"/>
      <c r="AH77" s="259"/>
      <c r="AI77" s="224">
        <f t="shared" si="12"/>
        <v>0</v>
      </c>
      <c r="AJ77" s="224">
        <f t="shared" si="13"/>
        <v>0</v>
      </c>
      <c r="AK77" s="224">
        <f t="shared" si="14"/>
        <v>0</v>
      </c>
      <c r="AL77" s="224">
        <f t="shared" si="10"/>
        <v>0</v>
      </c>
      <c r="AM77" s="225">
        <f t="shared" si="11"/>
        <v>0</v>
      </c>
    </row>
    <row r="78" spans="1:39" s="238" customFormat="1" ht="20.100000000000001" hidden="1" customHeight="1" x14ac:dyDescent="0.2">
      <c r="A78" s="234" t="s">
        <v>231</v>
      </c>
      <c r="B78" s="235"/>
      <c r="C78" s="235"/>
      <c r="D78" s="235"/>
      <c r="E78" s="235"/>
      <c r="F78" s="255"/>
      <c r="G78" s="255"/>
      <c r="H78" s="255"/>
      <c r="I78" s="255"/>
      <c r="J78" s="259"/>
      <c r="K78" s="259"/>
      <c r="L78" s="259"/>
      <c r="M78" s="259"/>
      <c r="N78" s="259"/>
      <c r="O78" s="259"/>
      <c r="P78" s="259"/>
      <c r="Q78" s="259"/>
      <c r="R78" s="259"/>
      <c r="S78" s="259"/>
      <c r="T78" s="259"/>
      <c r="U78" s="259"/>
      <c r="V78" s="259"/>
      <c r="W78" s="259"/>
      <c r="X78" s="259"/>
      <c r="Y78" s="259"/>
      <c r="Z78" s="259"/>
      <c r="AA78" s="259"/>
      <c r="AB78" s="259"/>
      <c r="AC78" s="259"/>
      <c r="AD78" s="259"/>
      <c r="AE78" s="259"/>
      <c r="AF78" s="259"/>
      <c r="AG78" s="259"/>
      <c r="AH78" s="259"/>
      <c r="AI78" s="224">
        <f t="shared" si="12"/>
        <v>0</v>
      </c>
      <c r="AJ78" s="224">
        <f t="shared" si="13"/>
        <v>0</v>
      </c>
      <c r="AK78" s="224">
        <f t="shared" si="14"/>
        <v>0</v>
      </c>
      <c r="AL78" s="224">
        <f t="shared" si="10"/>
        <v>0</v>
      </c>
      <c r="AM78" s="225">
        <f t="shared" si="11"/>
        <v>0</v>
      </c>
    </row>
    <row r="79" spans="1:39" s="238" customFormat="1" ht="26.25" customHeight="1" x14ac:dyDescent="0.2">
      <c r="A79" s="234" t="s">
        <v>232</v>
      </c>
      <c r="B79" s="235"/>
      <c r="C79" s="236">
        <v>87464</v>
      </c>
      <c r="D79" s="236">
        <v>87464</v>
      </c>
      <c r="E79" s="235"/>
      <c r="F79" s="255">
        <v>87464</v>
      </c>
      <c r="G79" s="255"/>
      <c r="H79" s="255"/>
      <c r="I79" s="255"/>
      <c r="J79" s="259"/>
      <c r="K79" s="259"/>
      <c r="L79" s="259"/>
      <c r="M79" s="259"/>
      <c r="N79" s="259"/>
      <c r="O79" s="259"/>
      <c r="P79" s="259"/>
      <c r="Q79" s="259"/>
      <c r="R79" s="259"/>
      <c r="S79" s="259"/>
      <c r="T79" s="259"/>
      <c r="U79" s="259"/>
      <c r="V79" s="259"/>
      <c r="W79" s="259"/>
      <c r="X79" s="259"/>
      <c r="Y79" s="259"/>
      <c r="Z79" s="259"/>
      <c r="AA79" s="259"/>
      <c r="AB79" s="259"/>
      <c r="AC79" s="259"/>
      <c r="AD79" s="259"/>
      <c r="AE79" s="259"/>
      <c r="AF79" s="259"/>
      <c r="AG79" s="259"/>
      <c r="AH79" s="259"/>
      <c r="AI79" s="224">
        <f t="shared" si="12"/>
        <v>87464</v>
      </c>
      <c r="AJ79" s="224">
        <f t="shared" si="13"/>
        <v>87464</v>
      </c>
      <c r="AK79" s="224">
        <f t="shared" si="14"/>
        <v>0</v>
      </c>
      <c r="AL79" s="224">
        <f t="shared" si="10"/>
        <v>87464</v>
      </c>
      <c r="AM79" s="225">
        <f t="shared" si="11"/>
        <v>0</v>
      </c>
    </row>
    <row r="80" spans="1:39" s="238" customFormat="1" ht="20.100000000000001" hidden="1" customHeight="1" x14ac:dyDescent="0.2">
      <c r="A80" s="234" t="s">
        <v>233</v>
      </c>
      <c r="B80" s="235"/>
      <c r="C80" s="235"/>
      <c r="D80" s="235"/>
      <c r="E80" s="235"/>
      <c r="F80" s="255"/>
      <c r="G80" s="255"/>
      <c r="H80" s="255"/>
      <c r="I80" s="255"/>
      <c r="J80" s="259"/>
      <c r="K80" s="259"/>
      <c r="L80" s="259"/>
      <c r="M80" s="259"/>
      <c r="N80" s="259"/>
      <c r="O80" s="259"/>
      <c r="P80" s="259"/>
      <c r="Q80" s="259"/>
      <c r="R80" s="259"/>
      <c r="S80" s="259"/>
      <c r="T80" s="259"/>
      <c r="U80" s="259"/>
      <c r="V80" s="259"/>
      <c r="W80" s="259"/>
      <c r="X80" s="259"/>
      <c r="Y80" s="259"/>
      <c r="Z80" s="259"/>
      <c r="AA80" s="259"/>
      <c r="AB80" s="259"/>
      <c r="AC80" s="259"/>
      <c r="AD80" s="259"/>
      <c r="AE80" s="259"/>
      <c r="AF80" s="259"/>
      <c r="AG80" s="259"/>
      <c r="AH80" s="259"/>
      <c r="AI80" s="224">
        <f t="shared" si="12"/>
        <v>0</v>
      </c>
      <c r="AJ80" s="224">
        <f t="shared" si="13"/>
        <v>0</v>
      </c>
      <c r="AK80" s="224">
        <f t="shared" si="14"/>
        <v>0</v>
      </c>
      <c r="AL80" s="224">
        <f t="shared" si="10"/>
        <v>0</v>
      </c>
      <c r="AM80" s="225">
        <f t="shared" si="11"/>
        <v>0</v>
      </c>
    </row>
    <row r="81" spans="1:39" s="264" customFormat="1" ht="27" hidden="1" customHeight="1" x14ac:dyDescent="0.2">
      <c r="A81" s="234" t="s">
        <v>234</v>
      </c>
      <c r="B81" s="254"/>
      <c r="C81" s="254"/>
      <c r="D81" s="254"/>
      <c r="E81" s="254"/>
      <c r="F81" s="255"/>
      <c r="G81" s="256"/>
      <c r="H81" s="256"/>
      <c r="I81" s="256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24">
        <f t="shared" si="12"/>
        <v>0</v>
      </c>
      <c r="AJ81" s="224">
        <f t="shared" si="13"/>
        <v>0</v>
      </c>
      <c r="AK81" s="224">
        <f t="shared" si="14"/>
        <v>0</v>
      </c>
      <c r="AL81" s="224">
        <f t="shared" si="10"/>
        <v>0</v>
      </c>
      <c r="AM81" s="225">
        <f t="shared" si="11"/>
        <v>0</v>
      </c>
    </row>
    <row r="82" spans="1:39" s="275" customFormat="1" ht="30" hidden="1" customHeight="1" x14ac:dyDescent="0.2">
      <c r="A82" s="234" t="s">
        <v>235</v>
      </c>
      <c r="B82" s="272"/>
      <c r="C82" s="272"/>
      <c r="D82" s="272"/>
      <c r="E82" s="272"/>
      <c r="F82" s="255"/>
      <c r="G82" s="273"/>
      <c r="H82" s="273"/>
      <c r="I82" s="273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274"/>
      <c r="Z82" s="274"/>
      <c r="AA82" s="274"/>
      <c r="AB82" s="274"/>
      <c r="AC82" s="274"/>
      <c r="AD82" s="274"/>
      <c r="AE82" s="274"/>
      <c r="AF82" s="274"/>
      <c r="AG82" s="274"/>
      <c r="AH82" s="274"/>
      <c r="AI82" s="224">
        <f t="shared" si="12"/>
        <v>0</v>
      </c>
      <c r="AJ82" s="224">
        <f t="shared" si="13"/>
        <v>0</v>
      </c>
      <c r="AK82" s="224">
        <f t="shared" si="14"/>
        <v>0</v>
      </c>
      <c r="AL82" s="224">
        <f t="shared" si="10"/>
        <v>0</v>
      </c>
      <c r="AM82" s="225">
        <f t="shared" si="11"/>
        <v>0</v>
      </c>
    </row>
    <row r="83" spans="1:39" s="268" customFormat="1" ht="37.5" customHeight="1" thickBot="1" x14ac:dyDescent="0.25">
      <c r="A83" s="265" t="s">
        <v>1101</v>
      </c>
      <c r="B83" s="266" t="s">
        <v>108</v>
      </c>
      <c r="C83" s="266">
        <f>+C72</f>
        <v>87464</v>
      </c>
      <c r="D83" s="266">
        <f>+D72</f>
        <v>87464</v>
      </c>
      <c r="E83" s="266"/>
      <c r="F83" s="267">
        <v>87464</v>
      </c>
      <c r="G83" s="267"/>
      <c r="H83" s="267"/>
      <c r="I83" s="267"/>
      <c r="J83" s="267">
        <v>0</v>
      </c>
      <c r="K83" s="267"/>
      <c r="L83" s="267"/>
      <c r="M83" s="267"/>
      <c r="N83" s="267">
        <v>0</v>
      </c>
      <c r="O83" s="267"/>
      <c r="P83" s="267"/>
      <c r="Q83" s="267"/>
      <c r="R83" s="267">
        <v>0</v>
      </c>
      <c r="S83" s="267"/>
      <c r="T83" s="267"/>
      <c r="U83" s="267"/>
      <c r="V83" s="267">
        <v>0</v>
      </c>
      <c r="W83" s="267"/>
      <c r="X83" s="267"/>
      <c r="Y83" s="267"/>
      <c r="Z83" s="267">
        <v>0</v>
      </c>
      <c r="AA83" s="267"/>
      <c r="AB83" s="267"/>
      <c r="AC83" s="267"/>
      <c r="AD83" s="267">
        <v>0</v>
      </c>
      <c r="AE83" s="267"/>
      <c r="AF83" s="267"/>
      <c r="AG83" s="267"/>
      <c r="AH83" s="267">
        <v>0</v>
      </c>
      <c r="AI83" s="224">
        <f t="shared" si="12"/>
        <v>87464</v>
      </c>
      <c r="AJ83" s="224">
        <f t="shared" si="13"/>
        <v>87464</v>
      </c>
      <c r="AK83" s="224">
        <f t="shared" si="14"/>
        <v>0</v>
      </c>
      <c r="AL83" s="224">
        <f t="shared" si="10"/>
        <v>87464</v>
      </c>
      <c r="AM83" s="225">
        <f t="shared" si="11"/>
        <v>0</v>
      </c>
    </row>
    <row r="84" spans="1:39" s="278" customFormat="1" ht="20.100000000000001" hidden="1" customHeight="1" x14ac:dyDescent="0.2">
      <c r="A84" s="276" t="s">
        <v>236</v>
      </c>
      <c r="B84" s="243"/>
      <c r="C84" s="243"/>
      <c r="D84" s="243"/>
      <c r="E84" s="243"/>
      <c r="F84" s="277">
        <v>0</v>
      </c>
      <c r="G84" s="277"/>
      <c r="H84" s="277"/>
      <c r="I84" s="277"/>
      <c r="J84" s="277">
        <v>0</v>
      </c>
      <c r="K84" s="277"/>
      <c r="L84" s="277"/>
      <c r="M84" s="277"/>
      <c r="N84" s="277">
        <v>0</v>
      </c>
      <c r="O84" s="277"/>
      <c r="P84" s="277"/>
      <c r="Q84" s="277"/>
      <c r="R84" s="277">
        <v>0</v>
      </c>
      <c r="S84" s="277"/>
      <c r="T84" s="277"/>
      <c r="U84" s="277"/>
      <c r="V84" s="277">
        <v>0</v>
      </c>
      <c r="W84" s="277"/>
      <c r="X84" s="277"/>
      <c r="Y84" s="277"/>
      <c r="Z84" s="277">
        <v>0</v>
      </c>
      <c r="AA84" s="277"/>
      <c r="AB84" s="277"/>
      <c r="AC84" s="277"/>
      <c r="AD84" s="277">
        <v>0</v>
      </c>
      <c r="AE84" s="277"/>
      <c r="AF84" s="277"/>
      <c r="AG84" s="277"/>
      <c r="AH84" s="277">
        <v>0</v>
      </c>
      <c r="AI84" s="224">
        <f t="shared" si="12"/>
        <v>0</v>
      </c>
      <c r="AJ84" s="224">
        <f t="shared" si="13"/>
        <v>0</v>
      </c>
      <c r="AK84" s="224">
        <f t="shared" si="14"/>
        <v>0</v>
      </c>
      <c r="AL84" s="224">
        <f t="shared" si="10"/>
        <v>0</v>
      </c>
      <c r="AM84" s="225">
        <f t="shared" si="11"/>
        <v>0</v>
      </c>
    </row>
    <row r="85" spans="1:39" s="238" customFormat="1" ht="20.100000000000001" hidden="1" customHeight="1" x14ac:dyDescent="0.2">
      <c r="A85" s="234" t="s">
        <v>237</v>
      </c>
      <c r="B85" s="235"/>
      <c r="C85" s="235"/>
      <c r="D85" s="235"/>
      <c r="E85" s="235"/>
      <c r="F85" s="279"/>
      <c r="G85" s="279"/>
      <c r="H85" s="279"/>
      <c r="I85" s="279"/>
      <c r="J85" s="280"/>
      <c r="K85" s="280"/>
      <c r="L85" s="280"/>
      <c r="M85" s="280"/>
      <c r="N85" s="280"/>
      <c r="O85" s="280"/>
      <c r="P85" s="280"/>
      <c r="Q85" s="280"/>
      <c r="R85" s="280"/>
      <c r="S85" s="280"/>
      <c r="T85" s="280"/>
      <c r="U85" s="280"/>
      <c r="V85" s="280"/>
      <c r="W85" s="280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24">
        <f t="shared" si="12"/>
        <v>0</v>
      </c>
      <c r="AJ85" s="224">
        <f t="shared" si="13"/>
        <v>0</v>
      </c>
      <c r="AK85" s="224">
        <f t="shared" si="14"/>
        <v>0</v>
      </c>
      <c r="AL85" s="224">
        <f t="shared" si="10"/>
        <v>0</v>
      </c>
      <c r="AM85" s="225">
        <f t="shared" si="11"/>
        <v>0</v>
      </c>
    </row>
    <row r="86" spans="1:39" s="238" customFormat="1" ht="30.75" hidden="1" customHeight="1" x14ac:dyDescent="0.2">
      <c r="A86" s="234" t="s">
        <v>238</v>
      </c>
      <c r="B86" s="235"/>
      <c r="C86" s="235"/>
      <c r="D86" s="235"/>
      <c r="E86" s="235"/>
      <c r="F86" s="279"/>
      <c r="G86" s="279"/>
      <c r="H86" s="279"/>
      <c r="I86" s="279"/>
      <c r="J86" s="280"/>
      <c r="K86" s="280"/>
      <c r="L86" s="280"/>
      <c r="M86" s="280"/>
      <c r="N86" s="280"/>
      <c r="O86" s="280"/>
      <c r="P86" s="280"/>
      <c r="Q86" s="280"/>
      <c r="R86" s="280"/>
      <c r="S86" s="280"/>
      <c r="T86" s="280"/>
      <c r="U86" s="280"/>
      <c r="V86" s="280"/>
      <c r="W86" s="280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24">
        <f t="shared" si="12"/>
        <v>0</v>
      </c>
      <c r="AJ86" s="224">
        <f t="shared" si="13"/>
        <v>0</v>
      </c>
      <c r="AK86" s="224">
        <f t="shared" si="14"/>
        <v>0</v>
      </c>
      <c r="AL86" s="224">
        <f t="shared" si="10"/>
        <v>0</v>
      </c>
      <c r="AM86" s="225">
        <f t="shared" si="11"/>
        <v>0</v>
      </c>
    </row>
    <row r="87" spans="1:39" s="282" customFormat="1" ht="20.100000000000001" hidden="1" customHeight="1" x14ac:dyDescent="0.2">
      <c r="A87" s="232" t="s">
        <v>239</v>
      </c>
      <c r="B87" s="252"/>
      <c r="C87" s="252"/>
      <c r="D87" s="252"/>
      <c r="E87" s="252"/>
      <c r="F87" s="281">
        <v>0</v>
      </c>
      <c r="G87" s="281"/>
      <c r="H87" s="281"/>
      <c r="I87" s="281"/>
      <c r="J87" s="281">
        <v>0</v>
      </c>
      <c r="K87" s="281"/>
      <c r="L87" s="281"/>
      <c r="M87" s="281"/>
      <c r="N87" s="281">
        <v>0</v>
      </c>
      <c r="O87" s="281"/>
      <c r="P87" s="281"/>
      <c r="Q87" s="281"/>
      <c r="R87" s="281">
        <v>0</v>
      </c>
      <c r="S87" s="281"/>
      <c r="T87" s="281"/>
      <c r="U87" s="281"/>
      <c r="V87" s="281">
        <v>0</v>
      </c>
      <c r="W87" s="281"/>
      <c r="X87" s="281"/>
      <c r="Y87" s="281"/>
      <c r="Z87" s="281">
        <v>0</v>
      </c>
      <c r="AA87" s="281"/>
      <c r="AB87" s="281"/>
      <c r="AC87" s="281"/>
      <c r="AD87" s="281">
        <v>0</v>
      </c>
      <c r="AE87" s="281"/>
      <c r="AF87" s="281"/>
      <c r="AG87" s="281"/>
      <c r="AH87" s="281">
        <v>0</v>
      </c>
      <c r="AI87" s="224">
        <f t="shared" si="12"/>
        <v>0</v>
      </c>
      <c r="AJ87" s="224">
        <f t="shared" si="13"/>
        <v>0</v>
      </c>
      <c r="AK87" s="224">
        <f t="shared" si="14"/>
        <v>0</v>
      </c>
      <c r="AL87" s="224">
        <f t="shared" si="10"/>
        <v>0</v>
      </c>
      <c r="AM87" s="225">
        <f t="shared" si="11"/>
        <v>0</v>
      </c>
    </row>
    <row r="88" spans="1:39" s="238" customFormat="1" ht="20.100000000000001" hidden="1" customHeight="1" x14ac:dyDescent="0.2">
      <c r="A88" s="234" t="s">
        <v>240</v>
      </c>
      <c r="B88" s="235"/>
      <c r="C88" s="235"/>
      <c r="D88" s="235"/>
      <c r="E88" s="235"/>
      <c r="F88" s="283"/>
      <c r="G88" s="283"/>
      <c r="H88" s="283"/>
      <c r="I88" s="283"/>
      <c r="J88" s="280">
        <v>0</v>
      </c>
      <c r="K88" s="280"/>
      <c r="L88" s="280"/>
      <c r="M88" s="280"/>
      <c r="N88" s="284"/>
      <c r="O88" s="284"/>
      <c r="P88" s="284"/>
      <c r="Q88" s="284"/>
      <c r="R88" s="280"/>
      <c r="S88" s="280"/>
      <c r="T88" s="280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24">
        <f t="shared" si="12"/>
        <v>0</v>
      </c>
      <c r="AJ88" s="224">
        <f t="shared" si="13"/>
        <v>0</v>
      </c>
      <c r="AK88" s="224">
        <f t="shared" si="14"/>
        <v>0</v>
      </c>
      <c r="AL88" s="224">
        <f t="shared" si="10"/>
        <v>0</v>
      </c>
      <c r="AM88" s="225">
        <f t="shared" si="11"/>
        <v>0</v>
      </c>
    </row>
    <row r="89" spans="1:39" s="238" customFormat="1" ht="20.100000000000001" hidden="1" customHeight="1" x14ac:dyDescent="0.2">
      <c r="A89" s="234" t="s">
        <v>241</v>
      </c>
      <c r="B89" s="235"/>
      <c r="C89" s="235"/>
      <c r="D89" s="235"/>
      <c r="E89" s="235"/>
      <c r="F89" s="279"/>
      <c r="G89" s="279"/>
      <c r="H89" s="279"/>
      <c r="I89" s="279"/>
      <c r="J89" s="280"/>
      <c r="K89" s="280"/>
      <c r="L89" s="280"/>
      <c r="M89" s="280"/>
      <c r="N89" s="280"/>
      <c r="O89" s="280"/>
      <c r="P89" s="280"/>
      <c r="Q89" s="280"/>
      <c r="R89" s="280"/>
      <c r="S89" s="280"/>
      <c r="T89" s="280"/>
      <c r="U89" s="280"/>
      <c r="V89" s="280"/>
      <c r="W89" s="280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24">
        <f t="shared" si="12"/>
        <v>0</v>
      </c>
      <c r="AJ89" s="224">
        <f t="shared" si="13"/>
        <v>0</v>
      </c>
      <c r="AK89" s="224">
        <f t="shared" si="14"/>
        <v>0</v>
      </c>
      <c r="AL89" s="224">
        <f t="shared" si="10"/>
        <v>0</v>
      </c>
      <c r="AM89" s="225">
        <f t="shared" si="11"/>
        <v>0</v>
      </c>
    </row>
    <row r="90" spans="1:39" s="238" customFormat="1" ht="20.100000000000001" hidden="1" customHeight="1" x14ac:dyDescent="0.2">
      <c r="A90" s="234" t="s">
        <v>242</v>
      </c>
      <c r="B90" s="235"/>
      <c r="C90" s="235"/>
      <c r="D90" s="235"/>
      <c r="E90" s="235"/>
      <c r="F90" s="279"/>
      <c r="G90" s="279"/>
      <c r="H90" s="279"/>
      <c r="I90" s="279"/>
      <c r="J90" s="280"/>
      <c r="K90" s="280"/>
      <c r="L90" s="280"/>
      <c r="M90" s="280"/>
      <c r="N90" s="280"/>
      <c r="O90" s="280"/>
      <c r="P90" s="280"/>
      <c r="Q90" s="280"/>
      <c r="R90" s="280"/>
      <c r="S90" s="280"/>
      <c r="T90" s="280"/>
      <c r="U90" s="280"/>
      <c r="V90" s="280"/>
      <c r="W90" s="280"/>
      <c r="X90" s="280"/>
      <c r="Y90" s="280"/>
      <c r="Z90" s="280"/>
      <c r="AA90" s="280"/>
      <c r="AB90" s="280"/>
      <c r="AC90" s="280"/>
      <c r="AD90" s="280"/>
      <c r="AE90" s="280"/>
      <c r="AF90" s="280"/>
      <c r="AG90" s="280"/>
      <c r="AH90" s="280"/>
      <c r="AI90" s="224">
        <f t="shared" si="12"/>
        <v>0</v>
      </c>
      <c r="AJ90" s="224">
        <f t="shared" si="13"/>
        <v>0</v>
      </c>
      <c r="AK90" s="224">
        <f t="shared" si="14"/>
        <v>0</v>
      </c>
      <c r="AL90" s="224">
        <f t="shared" si="10"/>
        <v>0</v>
      </c>
      <c r="AM90" s="225">
        <f t="shared" si="11"/>
        <v>0</v>
      </c>
    </row>
    <row r="91" spans="1:39" s="238" customFormat="1" ht="20.100000000000001" hidden="1" customHeight="1" x14ac:dyDescent="0.2">
      <c r="A91" s="234" t="s">
        <v>243</v>
      </c>
      <c r="B91" s="235"/>
      <c r="C91" s="235"/>
      <c r="D91" s="235"/>
      <c r="E91" s="235"/>
      <c r="F91" s="279"/>
      <c r="G91" s="279"/>
      <c r="H91" s="279"/>
      <c r="I91" s="279"/>
      <c r="J91" s="280"/>
      <c r="K91" s="280"/>
      <c r="L91" s="280"/>
      <c r="M91" s="280"/>
      <c r="N91" s="280"/>
      <c r="O91" s="280"/>
      <c r="P91" s="280"/>
      <c r="Q91" s="280"/>
      <c r="R91" s="280"/>
      <c r="S91" s="280"/>
      <c r="T91" s="280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80"/>
      <c r="AG91" s="280"/>
      <c r="AH91" s="280"/>
      <c r="AI91" s="224">
        <f t="shared" si="12"/>
        <v>0</v>
      </c>
      <c r="AJ91" s="224">
        <f t="shared" si="13"/>
        <v>0</v>
      </c>
      <c r="AK91" s="224">
        <f t="shared" si="14"/>
        <v>0</v>
      </c>
      <c r="AL91" s="224">
        <f t="shared" si="10"/>
        <v>0</v>
      </c>
      <c r="AM91" s="225">
        <f t="shared" si="11"/>
        <v>0</v>
      </c>
    </row>
    <row r="92" spans="1:39" s="238" customFormat="1" ht="20.100000000000001" hidden="1" customHeight="1" x14ac:dyDescent="0.2">
      <c r="A92" s="234" t="s">
        <v>244</v>
      </c>
      <c r="B92" s="235"/>
      <c r="C92" s="235"/>
      <c r="D92" s="235"/>
      <c r="E92" s="235"/>
      <c r="F92" s="279"/>
      <c r="G92" s="279"/>
      <c r="H92" s="279"/>
      <c r="I92" s="279"/>
      <c r="J92" s="280"/>
      <c r="K92" s="280"/>
      <c r="L92" s="280"/>
      <c r="M92" s="280"/>
      <c r="N92" s="280"/>
      <c r="O92" s="280"/>
      <c r="P92" s="280"/>
      <c r="Q92" s="280"/>
      <c r="R92" s="280"/>
      <c r="S92" s="280"/>
      <c r="T92" s="280"/>
      <c r="U92" s="280"/>
      <c r="V92" s="280"/>
      <c r="W92" s="280"/>
      <c r="X92" s="280"/>
      <c r="Y92" s="280"/>
      <c r="Z92" s="280"/>
      <c r="AA92" s="280"/>
      <c r="AB92" s="280"/>
      <c r="AC92" s="280"/>
      <c r="AD92" s="280"/>
      <c r="AE92" s="280"/>
      <c r="AF92" s="280"/>
      <c r="AG92" s="280"/>
      <c r="AH92" s="280"/>
      <c r="AI92" s="224">
        <f t="shared" si="12"/>
        <v>0</v>
      </c>
      <c r="AJ92" s="224">
        <f t="shared" si="13"/>
        <v>0</v>
      </c>
      <c r="AK92" s="224">
        <f t="shared" si="14"/>
        <v>0</v>
      </c>
      <c r="AL92" s="224">
        <f t="shared" si="10"/>
        <v>0</v>
      </c>
      <c r="AM92" s="225">
        <f t="shared" si="11"/>
        <v>0</v>
      </c>
    </row>
    <row r="93" spans="1:39" s="238" customFormat="1" ht="20.100000000000001" hidden="1" customHeight="1" x14ac:dyDescent="0.2">
      <c r="A93" s="234" t="s">
        <v>245</v>
      </c>
      <c r="B93" s="235"/>
      <c r="C93" s="235"/>
      <c r="D93" s="235"/>
      <c r="E93" s="235"/>
      <c r="F93" s="279"/>
      <c r="G93" s="279"/>
      <c r="H93" s="279"/>
      <c r="I93" s="279"/>
      <c r="J93" s="280"/>
      <c r="K93" s="280"/>
      <c r="L93" s="280"/>
      <c r="M93" s="280"/>
      <c r="N93" s="280"/>
      <c r="O93" s="280"/>
      <c r="P93" s="280"/>
      <c r="Q93" s="280"/>
      <c r="R93" s="280"/>
      <c r="S93" s="280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280"/>
      <c r="AI93" s="224">
        <f t="shared" si="12"/>
        <v>0</v>
      </c>
      <c r="AJ93" s="224">
        <f t="shared" si="13"/>
        <v>0</v>
      </c>
      <c r="AK93" s="224">
        <f t="shared" si="14"/>
        <v>0</v>
      </c>
      <c r="AL93" s="224">
        <f t="shared" si="10"/>
        <v>0</v>
      </c>
      <c r="AM93" s="225">
        <f t="shared" si="11"/>
        <v>0</v>
      </c>
    </row>
    <row r="94" spans="1:39" s="238" customFormat="1" ht="20.100000000000001" hidden="1" customHeight="1" x14ac:dyDescent="0.2">
      <c r="A94" s="234" t="s">
        <v>246</v>
      </c>
      <c r="B94" s="235"/>
      <c r="C94" s="235"/>
      <c r="D94" s="235"/>
      <c r="E94" s="235"/>
      <c r="F94" s="279"/>
      <c r="G94" s="279"/>
      <c r="H94" s="279"/>
      <c r="I94" s="279"/>
      <c r="J94" s="280"/>
      <c r="K94" s="280"/>
      <c r="L94" s="280"/>
      <c r="M94" s="280"/>
      <c r="N94" s="280"/>
      <c r="O94" s="280"/>
      <c r="P94" s="280"/>
      <c r="Q94" s="280"/>
      <c r="R94" s="280"/>
      <c r="S94" s="280"/>
      <c r="T94" s="280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280"/>
      <c r="AF94" s="280"/>
      <c r="AG94" s="280"/>
      <c r="AH94" s="280"/>
      <c r="AI94" s="224">
        <f t="shared" si="12"/>
        <v>0</v>
      </c>
      <c r="AJ94" s="224">
        <f t="shared" si="13"/>
        <v>0</v>
      </c>
      <c r="AK94" s="224">
        <f t="shared" si="14"/>
        <v>0</v>
      </c>
      <c r="AL94" s="224">
        <f t="shared" si="10"/>
        <v>0</v>
      </c>
      <c r="AM94" s="225">
        <f t="shared" si="11"/>
        <v>0</v>
      </c>
    </row>
    <row r="95" spans="1:39" s="253" customFormat="1" ht="20.100000000000001" hidden="1" customHeight="1" x14ac:dyDescent="0.2">
      <c r="A95" s="242" t="s">
        <v>247</v>
      </c>
      <c r="B95" s="252"/>
      <c r="C95" s="252"/>
      <c r="D95" s="252"/>
      <c r="E95" s="252"/>
      <c r="F95" s="285">
        <v>0</v>
      </c>
      <c r="G95" s="285"/>
      <c r="H95" s="285"/>
      <c r="I95" s="285"/>
      <c r="J95" s="285">
        <v>0</v>
      </c>
      <c r="K95" s="285"/>
      <c r="L95" s="285"/>
      <c r="M95" s="285"/>
      <c r="N95" s="285">
        <v>0</v>
      </c>
      <c r="O95" s="285"/>
      <c r="P95" s="285"/>
      <c r="Q95" s="285"/>
      <c r="R95" s="285">
        <v>0</v>
      </c>
      <c r="S95" s="285"/>
      <c r="T95" s="285"/>
      <c r="U95" s="285"/>
      <c r="V95" s="285">
        <v>0</v>
      </c>
      <c r="W95" s="285"/>
      <c r="X95" s="285"/>
      <c r="Y95" s="285"/>
      <c r="Z95" s="285">
        <v>0</v>
      </c>
      <c r="AA95" s="285"/>
      <c r="AB95" s="285"/>
      <c r="AC95" s="285"/>
      <c r="AD95" s="285">
        <v>0</v>
      </c>
      <c r="AE95" s="285"/>
      <c r="AF95" s="285"/>
      <c r="AG95" s="285"/>
      <c r="AH95" s="285">
        <v>0</v>
      </c>
      <c r="AI95" s="224">
        <f t="shared" si="12"/>
        <v>0</v>
      </c>
      <c r="AJ95" s="224">
        <f t="shared" si="13"/>
        <v>0</v>
      </c>
      <c r="AK95" s="224">
        <f t="shared" si="14"/>
        <v>0</v>
      </c>
      <c r="AL95" s="224">
        <f t="shared" si="10"/>
        <v>0</v>
      </c>
      <c r="AM95" s="225">
        <f t="shared" si="11"/>
        <v>0</v>
      </c>
    </row>
    <row r="96" spans="1:39" s="253" customFormat="1" ht="24.75" hidden="1" customHeight="1" x14ac:dyDescent="0.2">
      <c r="A96" s="242" t="s">
        <v>248</v>
      </c>
      <c r="B96" s="252"/>
      <c r="C96" s="252"/>
      <c r="D96" s="252"/>
      <c r="E96" s="252"/>
      <c r="F96" s="285">
        <v>0</v>
      </c>
      <c r="G96" s="285"/>
      <c r="H96" s="285"/>
      <c r="I96" s="285"/>
      <c r="J96" s="285">
        <v>0</v>
      </c>
      <c r="K96" s="285"/>
      <c r="L96" s="285"/>
      <c r="M96" s="285"/>
      <c r="N96" s="285">
        <v>0</v>
      </c>
      <c r="O96" s="285"/>
      <c r="P96" s="285"/>
      <c r="Q96" s="285"/>
      <c r="R96" s="285">
        <v>0</v>
      </c>
      <c r="S96" s="285"/>
      <c r="T96" s="285"/>
      <c r="U96" s="285"/>
      <c r="V96" s="285">
        <v>0</v>
      </c>
      <c r="W96" s="285"/>
      <c r="X96" s="285"/>
      <c r="Y96" s="285"/>
      <c r="Z96" s="285">
        <v>0</v>
      </c>
      <c r="AA96" s="285"/>
      <c r="AB96" s="285"/>
      <c r="AC96" s="285"/>
      <c r="AD96" s="285">
        <v>0</v>
      </c>
      <c r="AE96" s="285"/>
      <c r="AF96" s="285"/>
      <c r="AG96" s="285"/>
      <c r="AH96" s="285">
        <v>0</v>
      </c>
      <c r="AI96" s="224">
        <f t="shared" si="12"/>
        <v>0</v>
      </c>
      <c r="AJ96" s="224">
        <f t="shared" si="13"/>
        <v>0</v>
      </c>
      <c r="AK96" s="224">
        <f t="shared" si="14"/>
        <v>0</v>
      </c>
      <c r="AL96" s="224">
        <f t="shared" si="10"/>
        <v>0</v>
      </c>
      <c r="AM96" s="225">
        <f t="shared" si="11"/>
        <v>0</v>
      </c>
    </row>
    <row r="97" spans="1:39" s="264" customFormat="1" ht="20.100000000000001" hidden="1" customHeight="1" x14ac:dyDescent="0.2">
      <c r="A97" s="234" t="s">
        <v>249</v>
      </c>
      <c r="B97" s="254"/>
      <c r="C97" s="254"/>
      <c r="D97" s="254"/>
      <c r="E97" s="254"/>
      <c r="F97" s="286"/>
      <c r="G97" s="286"/>
      <c r="H97" s="286"/>
      <c r="I97" s="286"/>
      <c r="J97" s="287"/>
      <c r="K97" s="287"/>
      <c r="L97" s="287"/>
      <c r="M97" s="287"/>
      <c r="N97" s="287"/>
      <c r="O97" s="287"/>
      <c r="P97" s="287"/>
      <c r="Q97" s="287"/>
      <c r="R97" s="288"/>
      <c r="S97" s="288"/>
      <c r="T97" s="288"/>
      <c r="U97" s="288"/>
      <c r="V97" s="288"/>
      <c r="W97" s="288"/>
      <c r="X97" s="288"/>
      <c r="Y97" s="288"/>
      <c r="Z97" s="288"/>
      <c r="AA97" s="288"/>
      <c r="AB97" s="288"/>
      <c r="AC97" s="288"/>
      <c r="AD97" s="288"/>
      <c r="AE97" s="288"/>
      <c r="AF97" s="288"/>
      <c r="AG97" s="288"/>
      <c r="AH97" s="288"/>
      <c r="AI97" s="224">
        <f t="shared" si="12"/>
        <v>0</v>
      </c>
      <c r="AJ97" s="224">
        <f t="shared" si="13"/>
        <v>0</v>
      </c>
      <c r="AK97" s="224">
        <f t="shared" si="14"/>
        <v>0</v>
      </c>
      <c r="AL97" s="224">
        <f t="shared" si="10"/>
        <v>0</v>
      </c>
      <c r="AM97" s="225">
        <f t="shared" si="11"/>
        <v>0</v>
      </c>
    </row>
    <row r="98" spans="1:39" s="238" customFormat="1" ht="20.100000000000001" hidden="1" customHeight="1" x14ac:dyDescent="0.2">
      <c r="A98" s="234" t="s">
        <v>250</v>
      </c>
      <c r="B98" s="235"/>
      <c r="C98" s="235"/>
      <c r="D98" s="235"/>
      <c r="E98" s="235"/>
      <c r="F98" s="283"/>
      <c r="G98" s="283"/>
      <c r="H98" s="283"/>
      <c r="I98" s="283"/>
      <c r="J98" s="284"/>
      <c r="K98" s="284"/>
      <c r="L98" s="284"/>
      <c r="M98" s="284"/>
      <c r="N98" s="284"/>
      <c r="O98" s="284"/>
      <c r="P98" s="284"/>
      <c r="Q98" s="284"/>
      <c r="R98" s="280"/>
      <c r="S98" s="280"/>
      <c r="T98" s="280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280"/>
      <c r="AI98" s="224">
        <f t="shared" si="12"/>
        <v>0</v>
      </c>
      <c r="AJ98" s="224">
        <f t="shared" si="13"/>
        <v>0</v>
      </c>
      <c r="AK98" s="224">
        <f t="shared" si="14"/>
        <v>0</v>
      </c>
      <c r="AL98" s="224">
        <f t="shared" si="10"/>
        <v>0</v>
      </c>
      <c r="AM98" s="225">
        <f t="shared" si="11"/>
        <v>0</v>
      </c>
    </row>
    <row r="99" spans="1:39" s="238" customFormat="1" ht="20.100000000000001" hidden="1" customHeight="1" x14ac:dyDescent="0.2">
      <c r="A99" s="234" t="s">
        <v>251</v>
      </c>
      <c r="B99" s="235"/>
      <c r="C99" s="235"/>
      <c r="D99" s="235"/>
      <c r="E99" s="235"/>
      <c r="F99" s="279"/>
      <c r="G99" s="279"/>
      <c r="H99" s="279"/>
      <c r="I99" s="279"/>
      <c r="J99" s="280"/>
      <c r="K99" s="280"/>
      <c r="L99" s="280"/>
      <c r="M99" s="280"/>
      <c r="N99" s="280"/>
      <c r="O99" s="280"/>
      <c r="P99" s="280"/>
      <c r="Q99" s="280"/>
      <c r="R99" s="280"/>
      <c r="S99" s="280"/>
      <c r="T99" s="280"/>
      <c r="U99" s="280"/>
      <c r="V99" s="280"/>
      <c r="W99" s="280"/>
      <c r="X99" s="280"/>
      <c r="Y99" s="280"/>
      <c r="Z99" s="280"/>
      <c r="AA99" s="280"/>
      <c r="AB99" s="280"/>
      <c r="AC99" s="280"/>
      <c r="AD99" s="280"/>
      <c r="AE99" s="280"/>
      <c r="AF99" s="280"/>
      <c r="AG99" s="280"/>
      <c r="AH99" s="280"/>
      <c r="AI99" s="224">
        <f t="shared" si="12"/>
        <v>0</v>
      </c>
      <c r="AJ99" s="224">
        <f t="shared" si="13"/>
        <v>0</v>
      </c>
      <c r="AK99" s="224">
        <f t="shared" si="14"/>
        <v>0</v>
      </c>
      <c r="AL99" s="224">
        <f t="shared" si="10"/>
        <v>0</v>
      </c>
      <c r="AM99" s="225">
        <f t="shared" si="11"/>
        <v>0</v>
      </c>
    </row>
    <row r="100" spans="1:39" s="238" customFormat="1" ht="27" hidden="1" customHeight="1" x14ac:dyDescent="0.2">
      <c r="A100" s="234" t="s">
        <v>252</v>
      </c>
      <c r="B100" s="235"/>
      <c r="C100" s="235"/>
      <c r="D100" s="235"/>
      <c r="E100" s="235"/>
      <c r="F100" s="279"/>
      <c r="G100" s="279"/>
      <c r="H100" s="279"/>
      <c r="I100" s="279"/>
      <c r="J100" s="280"/>
      <c r="K100" s="280"/>
      <c r="L100" s="280"/>
      <c r="M100" s="280"/>
      <c r="N100" s="280"/>
      <c r="O100" s="280"/>
      <c r="P100" s="280"/>
      <c r="Q100" s="280"/>
      <c r="R100" s="280"/>
      <c r="S100" s="280"/>
      <c r="T100" s="280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280"/>
      <c r="AG100" s="280"/>
      <c r="AH100" s="280"/>
      <c r="AI100" s="224">
        <f t="shared" si="12"/>
        <v>0</v>
      </c>
      <c r="AJ100" s="224">
        <f t="shared" si="13"/>
        <v>0</v>
      </c>
      <c r="AK100" s="224">
        <f t="shared" si="14"/>
        <v>0</v>
      </c>
      <c r="AL100" s="224">
        <f t="shared" si="10"/>
        <v>0</v>
      </c>
      <c r="AM100" s="225">
        <f t="shared" si="11"/>
        <v>0</v>
      </c>
    </row>
    <row r="101" spans="1:39" s="238" customFormat="1" ht="20.100000000000001" hidden="1" customHeight="1" x14ac:dyDescent="0.2">
      <c r="A101" s="234" t="s">
        <v>253</v>
      </c>
      <c r="B101" s="235"/>
      <c r="C101" s="235"/>
      <c r="D101" s="235"/>
      <c r="E101" s="235"/>
      <c r="F101" s="279"/>
      <c r="G101" s="279"/>
      <c r="H101" s="279"/>
      <c r="I101" s="279"/>
      <c r="J101" s="280"/>
      <c r="K101" s="280"/>
      <c r="L101" s="280"/>
      <c r="M101" s="280"/>
      <c r="N101" s="280"/>
      <c r="O101" s="280"/>
      <c r="P101" s="280"/>
      <c r="Q101" s="280"/>
      <c r="R101" s="280"/>
      <c r="S101" s="280"/>
      <c r="T101" s="280"/>
      <c r="U101" s="280"/>
      <c r="V101" s="280"/>
      <c r="W101" s="280"/>
      <c r="X101" s="280"/>
      <c r="Y101" s="280"/>
      <c r="Z101" s="280"/>
      <c r="AA101" s="280"/>
      <c r="AB101" s="280"/>
      <c r="AC101" s="280"/>
      <c r="AD101" s="280"/>
      <c r="AE101" s="280"/>
      <c r="AF101" s="280"/>
      <c r="AG101" s="280"/>
      <c r="AH101" s="280"/>
      <c r="AI101" s="224">
        <f t="shared" si="12"/>
        <v>0</v>
      </c>
      <c r="AJ101" s="224">
        <f t="shared" si="13"/>
        <v>0</v>
      </c>
      <c r="AK101" s="224">
        <f t="shared" si="14"/>
        <v>0</v>
      </c>
      <c r="AL101" s="224">
        <f t="shared" si="10"/>
        <v>0</v>
      </c>
      <c r="AM101" s="225">
        <f t="shared" si="11"/>
        <v>0</v>
      </c>
    </row>
    <row r="102" spans="1:39" s="238" customFormat="1" ht="20.100000000000001" hidden="1" customHeight="1" x14ac:dyDescent="0.2">
      <c r="A102" s="234" t="s">
        <v>254</v>
      </c>
      <c r="B102" s="235"/>
      <c r="C102" s="235"/>
      <c r="D102" s="235"/>
      <c r="E102" s="235"/>
      <c r="F102" s="279"/>
      <c r="G102" s="279"/>
      <c r="H102" s="279"/>
      <c r="I102" s="279"/>
      <c r="J102" s="280"/>
      <c r="K102" s="280"/>
      <c r="L102" s="280"/>
      <c r="M102" s="280"/>
      <c r="N102" s="280"/>
      <c r="O102" s="280"/>
      <c r="P102" s="280"/>
      <c r="Q102" s="280"/>
      <c r="R102" s="280"/>
      <c r="S102" s="280"/>
      <c r="T102" s="280"/>
      <c r="U102" s="280"/>
      <c r="V102" s="280"/>
      <c r="W102" s="280"/>
      <c r="X102" s="280"/>
      <c r="Y102" s="280"/>
      <c r="Z102" s="280"/>
      <c r="AA102" s="280"/>
      <c r="AB102" s="280"/>
      <c r="AC102" s="280"/>
      <c r="AD102" s="280"/>
      <c r="AE102" s="280"/>
      <c r="AF102" s="280"/>
      <c r="AG102" s="280"/>
      <c r="AH102" s="280"/>
      <c r="AI102" s="224">
        <f t="shared" si="12"/>
        <v>0</v>
      </c>
      <c r="AJ102" s="224">
        <f t="shared" si="13"/>
        <v>0</v>
      </c>
      <c r="AK102" s="224">
        <f t="shared" si="14"/>
        <v>0</v>
      </c>
      <c r="AL102" s="224">
        <f t="shared" si="10"/>
        <v>0</v>
      </c>
      <c r="AM102" s="225">
        <f t="shared" si="11"/>
        <v>0</v>
      </c>
    </row>
    <row r="103" spans="1:39" s="238" customFormat="1" ht="26.25" hidden="1" customHeight="1" x14ac:dyDescent="0.2">
      <c r="A103" s="234" t="s">
        <v>255</v>
      </c>
      <c r="B103" s="235"/>
      <c r="C103" s="235"/>
      <c r="D103" s="235"/>
      <c r="E103" s="235"/>
      <c r="F103" s="279"/>
      <c r="G103" s="279"/>
      <c r="H103" s="279"/>
      <c r="I103" s="279"/>
      <c r="J103" s="280"/>
      <c r="K103" s="280"/>
      <c r="L103" s="280"/>
      <c r="M103" s="280"/>
      <c r="N103" s="280"/>
      <c r="O103" s="280"/>
      <c r="P103" s="280"/>
      <c r="Q103" s="280"/>
      <c r="R103" s="280"/>
      <c r="S103" s="280"/>
      <c r="T103" s="280"/>
      <c r="U103" s="280"/>
      <c r="V103" s="280"/>
      <c r="W103" s="280"/>
      <c r="X103" s="280"/>
      <c r="Y103" s="280"/>
      <c r="Z103" s="280"/>
      <c r="AA103" s="280"/>
      <c r="AB103" s="280"/>
      <c r="AC103" s="280"/>
      <c r="AD103" s="280"/>
      <c r="AE103" s="280"/>
      <c r="AF103" s="280"/>
      <c r="AG103" s="280"/>
      <c r="AH103" s="280"/>
      <c r="AI103" s="224">
        <f t="shared" si="12"/>
        <v>0</v>
      </c>
      <c r="AJ103" s="224">
        <f t="shared" si="13"/>
        <v>0</v>
      </c>
      <c r="AK103" s="224">
        <f t="shared" si="14"/>
        <v>0</v>
      </c>
      <c r="AL103" s="224">
        <f t="shared" si="10"/>
        <v>0</v>
      </c>
      <c r="AM103" s="225">
        <f t="shared" si="11"/>
        <v>0</v>
      </c>
    </row>
    <row r="104" spans="1:39" s="238" customFormat="1" ht="20.100000000000001" hidden="1" customHeight="1" x14ac:dyDescent="0.2">
      <c r="A104" s="234" t="s">
        <v>256</v>
      </c>
      <c r="B104" s="235"/>
      <c r="C104" s="235"/>
      <c r="D104" s="235"/>
      <c r="E104" s="235"/>
      <c r="F104" s="279"/>
      <c r="G104" s="279"/>
      <c r="H104" s="279"/>
      <c r="I104" s="279"/>
      <c r="J104" s="280"/>
      <c r="K104" s="280"/>
      <c r="L104" s="280"/>
      <c r="M104" s="280"/>
      <c r="N104" s="280"/>
      <c r="O104" s="280"/>
      <c r="P104" s="280"/>
      <c r="Q104" s="280"/>
      <c r="R104" s="280"/>
      <c r="S104" s="280"/>
      <c r="T104" s="280"/>
      <c r="U104" s="280"/>
      <c r="V104" s="280"/>
      <c r="W104" s="280"/>
      <c r="X104" s="280"/>
      <c r="Y104" s="280"/>
      <c r="Z104" s="280"/>
      <c r="AA104" s="280"/>
      <c r="AB104" s="280"/>
      <c r="AC104" s="280"/>
      <c r="AD104" s="280"/>
      <c r="AE104" s="280"/>
      <c r="AF104" s="280"/>
      <c r="AG104" s="280"/>
      <c r="AH104" s="280"/>
      <c r="AI104" s="224">
        <f t="shared" si="12"/>
        <v>0</v>
      </c>
      <c r="AJ104" s="224">
        <f t="shared" si="13"/>
        <v>0</v>
      </c>
      <c r="AK104" s="224">
        <f t="shared" si="14"/>
        <v>0</v>
      </c>
      <c r="AL104" s="224">
        <f t="shared" si="10"/>
        <v>0</v>
      </c>
      <c r="AM104" s="225">
        <f t="shared" si="11"/>
        <v>0</v>
      </c>
    </row>
    <row r="105" spans="1:39" s="238" customFormat="1" ht="20.100000000000001" hidden="1" customHeight="1" x14ac:dyDescent="0.2">
      <c r="A105" s="234" t="s">
        <v>257</v>
      </c>
      <c r="B105" s="235"/>
      <c r="C105" s="235"/>
      <c r="D105" s="235"/>
      <c r="E105" s="235"/>
      <c r="F105" s="279"/>
      <c r="G105" s="279"/>
      <c r="H105" s="279"/>
      <c r="I105" s="279"/>
      <c r="J105" s="280"/>
      <c r="K105" s="280"/>
      <c r="L105" s="280"/>
      <c r="M105" s="280"/>
      <c r="N105" s="280"/>
      <c r="O105" s="280"/>
      <c r="P105" s="280"/>
      <c r="Q105" s="280"/>
      <c r="R105" s="280"/>
      <c r="S105" s="280"/>
      <c r="T105" s="280"/>
      <c r="U105" s="280"/>
      <c r="V105" s="280"/>
      <c r="W105" s="280"/>
      <c r="X105" s="280"/>
      <c r="Y105" s="280"/>
      <c r="Z105" s="280"/>
      <c r="AA105" s="280"/>
      <c r="AB105" s="280"/>
      <c r="AC105" s="280"/>
      <c r="AD105" s="280"/>
      <c r="AE105" s="280"/>
      <c r="AF105" s="280"/>
      <c r="AG105" s="280"/>
      <c r="AH105" s="280"/>
      <c r="AI105" s="224">
        <f t="shared" si="12"/>
        <v>0</v>
      </c>
      <c r="AJ105" s="224">
        <f t="shared" si="13"/>
        <v>0</v>
      </c>
      <c r="AK105" s="224">
        <f t="shared" si="14"/>
        <v>0</v>
      </c>
      <c r="AL105" s="224">
        <f t="shared" si="10"/>
        <v>0</v>
      </c>
      <c r="AM105" s="225">
        <f t="shared" si="11"/>
        <v>0</v>
      </c>
    </row>
    <row r="106" spans="1:39" s="253" customFormat="1" ht="27.75" hidden="1" customHeight="1" x14ac:dyDescent="0.2">
      <c r="A106" s="242" t="s">
        <v>258</v>
      </c>
      <c r="B106" s="252"/>
      <c r="C106" s="252"/>
      <c r="D106" s="252"/>
      <c r="E106" s="252"/>
      <c r="F106" s="285">
        <v>0</v>
      </c>
      <c r="G106" s="285"/>
      <c r="H106" s="285"/>
      <c r="I106" s="285"/>
      <c r="J106" s="285">
        <v>0</v>
      </c>
      <c r="K106" s="285"/>
      <c r="L106" s="285"/>
      <c r="M106" s="285"/>
      <c r="N106" s="285">
        <v>0</v>
      </c>
      <c r="O106" s="285"/>
      <c r="P106" s="285"/>
      <c r="Q106" s="285"/>
      <c r="R106" s="285">
        <v>0</v>
      </c>
      <c r="S106" s="285"/>
      <c r="T106" s="285"/>
      <c r="U106" s="285"/>
      <c r="V106" s="285">
        <v>0</v>
      </c>
      <c r="W106" s="285"/>
      <c r="X106" s="285"/>
      <c r="Y106" s="285"/>
      <c r="Z106" s="285">
        <v>0</v>
      </c>
      <c r="AA106" s="285"/>
      <c r="AB106" s="285"/>
      <c r="AC106" s="285"/>
      <c r="AD106" s="285">
        <v>0</v>
      </c>
      <c r="AE106" s="285"/>
      <c r="AF106" s="285"/>
      <c r="AG106" s="285"/>
      <c r="AH106" s="285">
        <v>0</v>
      </c>
      <c r="AI106" s="224">
        <f t="shared" si="12"/>
        <v>0</v>
      </c>
      <c r="AJ106" s="224">
        <f t="shared" si="13"/>
        <v>0</v>
      </c>
      <c r="AK106" s="224">
        <f t="shared" si="14"/>
        <v>0</v>
      </c>
      <c r="AL106" s="224">
        <f t="shared" si="10"/>
        <v>0</v>
      </c>
      <c r="AM106" s="225">
        <f t="shared" si="11"/>
        <v>0</v>
      </c>
    </row>
    <row r="107" spans="1:39" s="264" customFormat="1" ht="20.100000000000001" hidden="1" customHeight="1" x14ac:dyDescent="0.2">
      <c r="A107" s="234" t="s">
        <v>259</v>
      </c>
      <c r="B107" s="254"/>
      <c r="C107" s="254"/>
      <c r="D107" s="254"/>
      <c r="E107" s="254"/>
      <c r="F107" s="279"/>
      <c r="G107" s="279"/>
      <c r="H107" s="279"/>
      <c r="I107" s="279"/>
      <c r="J107" s="280"/>
      <c r="K107" s="280"/>
      <c r="L107" s="280"/>
      <c r="M107" s="280"/>
      <c r="N107" s="289"/>
      <c r="O107" s="290"/>
      <c r="P107" s="290"/>
      <c r="Q107" s="290"/>
      <c r="R107" s="288"/>
      <c r="S107" s="288"/>
      <c r="T107" s="288"/>
      <c r="U107" s="288"/>
      <c r="V107" s="288"/>
      <c r="W107" s="288"/>
      <c r="X107" s="288"/>
      <c r="Y107" s="288"/>
      <c r="Z107" s="288"/>
      <c r="AA107" s="288"/>
      <c r="AB107" s="288"/>
      <c r="AC107" s="288"/>
      <c r="AD107" s="288"/>
      <c r="AE107" s="288"/>
      <c r="AF107" s="288"/>
      <c r="AG107" s="288"/>
      <c r="AH107" s="288"/>
      <c r="AI107" s="224">
        <f t="shared" si="12"/>
        <v>0</v>
      </c>
      <c r="AJ107" s="224">
        <f t="shared" si="13"/>
        <v>0</v>
      </c>
      <c r="AK107" s="224">
        <f t="shared" si="14"/>
        <v>0</v>
      </c>
      <c r="AL107" s="224">
        <f t="shared" si="10"/>
        <v>0</v>
      </c>
      <c r="AM107" s="225">
        <f t="shared" si="11"/>
        <v>0</v>
      </c>
    </row>
    <row r="108" spans="1:39" s="238" customFormat="1" ht="20.100000000000001" hidden="1" customHeight="1" x14ac:dyDescent="0.2">
      <c r="A108" s="234" t="s">
        <v>260</v>
      </c>
      <c r="B108" s="235"/>
      <c r="C108" s="235"/>
      <c r="D108" s="235"/>
      <c r="E108" s="235"/>
      <c r="F108" s="283"/>
      <c r="G108" s="283"/>
      <c r="H108" s="283"/>
      <c r="I108" s="283"/>
      <c r="J108" s="280"/>
      <c r="K108" s="280"/>
      <c r="L108" s="280"/>
      <c r="M108" s="280"/>
      <c r="N108" s="289"/>
      <c r="O108" s="289"/>
      <c r="P108" s="289"/>
      <c r="Q108" s="289"/>
      <c r="R108" s="280"/>
      <c r="S108" s="280"/>
      <c r="T108" s="280"/>
      <c r="U108" s="280"/>
      <c r="V108" s="280"/>
      <c r="W108" s="280"/>
      <c r="X108" s="280"/>
      <c r="Y108" s="280"/>
      <c r="Z108" s="280"/>
      <c r="AA108" s="280"/>
      <c r="AB108" s="280"/>
      <c r="AC108" s="280"/>
      <c r="AD108" s="280"/>
      <c r="AE108" s="280"/>
      <c r="AF108" s="280"/>
      <c r="AG108" s="280"/>
      <c r="AH108" s="280"/>
      <c r="AI108" s="224">
        <f t="shared" si="12"/>
        <v>0</v>
      </c>
      <c r="AJ108" s="224">
        <f t="shared" si="13"/>
        <v>0</v>
      </c>
      <c r="AK108" s="224">
        <f t="shared" si="14"/>
        <v>0</v>
      </c>
      <c r="AL108" s="224">
        <f t="shared" si="10"/>
        <v>0</v>
      </c>
      <c r="AM108" s="225">
        <f t="shared" si="11"/>
        <v>0</v>
      </c>
    </row>
    <row r="109" spans="1:39" s="238" customFormat="1" ht="20.100000000000001" hidden="1" customHeight="1" x14ac:dyDescent="0.2">
      <c r="A109" s="234" t="s">
        <v>261</v>
      </c>
      <c r="B109" s="235"/>
      <c r="C109" s="235"/>
      <c r="D109" s="235"/>
      <c r="E109" s="235"/>
      <c r="F109" s="279"/>
      <c r="G109" s="279"/>
      <c r="H109" s="279"/>
      <c r="I109" s="279"/>
      <c r="J109" s="291"/>
      <c r="K109" s="291"/>
      <c r="L109" s="291"/>
      <c r="M109" s="291"/>
      <c r="N109" s="291"/>
      <c r="O109" s="291"/>
      <c r="P109" s="291"/>
      <c r="Q109" s="291"/>
      <c r="R109" s="280"/>
      <c r="S109" s="280"/>
      <c r="T109" s="280"/>
      <c r="U109" s="280"/>
      <c r="V109" s="280"/>
      <c r="W109" s="280"/>
      <c r="X109" s="280"/>
      <c r="Y109" s="280"/>
      <c r="Z109" s="280"/>
      <c r="AA109" s="280"/>
      <c r="AB109" s="280"/>
      <c r="AC109" s="280"/>
      <c r="AD109" s="280"/>
      <c r="AE109" s="280"/>
      <c r="AF109" s="280"/>
      <c r="AG109" s="280"/>
      <c r="AH109" s="280"/>
      <c r="AI109" s="224">
        <f t="shared" si="12"/>
        <v>0</v>
      </c>
      <c r="AJ109" s="224">
        <f t="shared" si="13"/>
        <v>0</v>
      </c>
      <c r="AK109" s="224">
        <f t="shared" si="14"/>
        <v>0</v>
      </c>
      <c r="AL109" s="224">
        <f t="shared" si="10"/>
        <v>0</v>
      </c>
      <c r="AM109" s="225">
        <f t="shared" si="11"/>
        <v>0</v>
      </c>
    </row>
    <row r="110" spans="1:39" s="238" customFormat="1" ht="20.100000000000001" hidden="1" customHeight="1" x14ac:dyDescent="0.2">
      <c r="A110" s="234" t="s">
        <v>262</v>
      </c>
      <c r="B110" s="235"/>
      <c r="C110" s="235"/>
      <c r="D110" s="235"/>
      <c r="E110" s="235"/>
      <c r="F110" s="279"/>
      <c r="G110" s="292"/>
      <c r="H110" s="292"/>
      <c r="I110" s="292"/>
      <c r="J110" s="288"/>
      <c r="K110" s="288"/>
      <c r="L110" s="288"/>
      <c r="M110" s="288"/>
      <c r="N110" s="290"/>
      <c r="O110" s="290"/>
      <c r="P110" s="290"/>
      <c r="Q110" s="290"/>
      <c r="R110" s="280"/>
      <c r="S110" s="280"/>
      <c r="T110" s="280"/>
      <c r="U110" s="280"/>
      <c r="V110" s="280"/>
      <c r="W110" s="280"/>
      <c r="X110" s="280"/>
      <c r="Y110" s="280"/>
      <c r="Z110" s="280"/>
      <c r="AA110" s="280"/>
      <c r="AB110" s="280"/>
      <c r="AC110" s="280"/>
      <c r="AD110" s="280"/>
      <c r="AE110" s="280"/>
      <c r="AF110" s="280"/>
      <c r="AG110" s="280"/>
      <c r="AH110" s="280"/>
      <c r="AI110" s="224">
        <f t="shared" si="12"/>
        <v>0</v>
      </c>
      <c r="AJ110" s="224">
        <f t="shared" si="13"/>
        <v>0</v>
      </c>
      <c r="AK110" s="224">
        <f t="shared" si="14"/>
        <v>0</v>
      </c>
      <c r="AL110" s="224">
        <f t="shared" si="10"/>
        <v>0</v>
      </c>
      <c r="AM110" s="225">
        <f t="shared" si="11"/>
        <v>0</v>
      </c>
    </row>
    <row r="111" spans="1:39" s="253" customFormat="1" ht="20.100000000000001" customHeight="1" x14ac:dyDescent="0.2">
      <c r="A111" s="1061" t="s">
        <v>1102</v>
      </c>
      <c r="B111" s="310"/>
      <c r="C111" s="308">
        <f>+C112+C113+C114</f>
        <v>705000</v>
      </c>
      <c r="D111" s="308">
        <f>+D112+D113+D114</f>
        <v>705000</v>
      </c>
      <c r="E111" s="310">
        <v>720803.36600000004</v>
      </c>
      <c r="F111" s="1063">
        <v>705000</v>
      </c>
      <c r="G111" s="1063"/>
      <c r="H111" s="1063"/>
      <c r="I111" s="1063"/>
      <c r="J111" s="1063">
        <v>0</v>
      </c>
      <c r="K111" s="1063"/>
      <c r="L111" s="1063"/>
      <c r="M111" s="1063"/>
      <c r="N111" s="1063">
        <v>0</v>
      </c>
      <c r="O111" s="1063"/>
      <c r="P111" s="1063"/>
      <c r="Q111" s="1063"/>
      <c r="R111" s="1063">
        <v>0</v>
      </c>
      <c r="S111" s="1063"/>
      <c r="T111" s="1063"/>
      <c r="U111" s="1063"/>
      <c r="V111" s="1063">
        <v>0</v>
      </c>
      <c r="W111" s="1063"/>
      <c r="X111" s="1063"/>
      <c r="Y111" s="1063"/>
      <c r="Z111" s="1063">
        <v>0</v>
      </c>
      <c r="AA111" s="1063"/>
      <c r="AB111" s="1063"/>
      <c r="AC111" s="1063"/>
      <c r="AD111" s="1063">
        <v>0</v>
      </c>
      <c r="AE111" s="1063"/>
      <c r="AF111" s="1063"/>
      <c r="AG111" s="1063"/>
      <c r="AH111" s="1063">
        <v>0</v>
      </c>
      <c r="AI111" s="224">
        <f t="shared" si="12"/>
        <v>705000</v>
      </c>
      <c r="AJ111" s="224">
        <f t="shared" si="13"/>
        <v>705000</v>
      </c>
      <c r="AK111" s="224">
        <f t="shared" si="14"/>
        <v>720803.36600000004</v>
      </c>
      <c r="AL111" s="224">
        <f t="shared" si="10"/>
        <v>705000</v>
      </c>
      <c r="AM111" s="225">
        <f t="shared" si="11"/>
        <v>0</v>
      </c>
    </row>
    <row r="112" spans="1:39" s="271" customFormat="1" ht="20.100000000000001" customHeight="1" x14ac:dyDescent="0.2">
      <c r="A112" s="234" t="s">
        <v>263</v>
      </c>
      <c r="B112" s="254"/>
      <c r="C112" s="1064">
        <v>700000</v>
      </c>
      <c r="D112" s="1064">
        <v>700000</v>
      </c>
      <c r="E112" s="254">
        <v>712100.17500000005</v>
      </c>
      <c r="F112" s="279">
        <v>700000</v>
      </c>
      <c r="G112" s="292"/>
      <c r="H112" s="292"/>
      <c r="I112" s="292"/>
      <c r="J112" s="286"/>
      <c r="K112" s="286"/>
      <c r="L112" s="286"/>
      <c r="M112" s="286"/>
      <c r="N112" s="286"/>
      <c r="O112" s="286"/>
      <c r="P112" s="286"/>
      <c r="Q112" s="286"/>
      <c r="R112" s="288"/>
      <c r="S112" s="288"/>
      <c r="T112" s="288"/>
      <c r="U112" s="288"/>
      <c r="V112" s="288"/>
      <c r="W112" s="288"/>
      <c r="X112" s="288"/>
      <c r="Y112" s="288"/>
      <c r="Z112" s="288"/>
      <c r="AA112" s="288"/>
      <c r="AB112" s="288"/>
      <c r="AC112" s="288"/>
      <c r="AD112" s="288"/>
      <c r="AE112" s="288"/>
      <c r="AF112" s="288"/>
      <c r="AG112" s="288"/>
      <c r="AH112" s="288"/>
      <c r="AI112" s="224">
        <f t="shared" si="12"/>
        <v>700000</v>
      </c>
      <c r="AJ112" s="224">
        <f t="shared" si="13"/>
        <v>700000</v>
      </c>
      <c r="AK112" s="224">
        <f t="shared" si="14"/>
        <v>712100.17500000005</v>
      </c>
      <c r="AL112" s="224">
        <f t="shared" si="10"/>
        <v>700000</v>
      </c>
      <c r="AM112" s="225">
        <f t="shared" si="11"/>
        <v>0</v>
      </c>
    </row>
    <row r="113" spans="1:45" s="261" customFormat="1" ht="20.100000000000001" customHeight="1" x14ac:dyDescent="0.2">
      <c r="A113" s="234" t="s">
        <v>264</v>
      </c>
      <c r="B113" s="235"/>
      <c r="C113" s="236"/>
      <c r="D113" s="236"/>
      <c r="E113" s="235"/>
      <c r="F113" s="283"/>
      <c r="G113" s="283"/>
      <c r="H113" s="283"/>
      <c r="I113" s="283"/>
      <c r="J113" s="283"/>
      <c r="K113" s="283"/>
      <c r="L113" s="283"/>
      <c r="M113" s="283"/>
      <c r="N113" s="283"/>
      <c r="O113" s="283"/>
      <c r="P113" s="283"/>
      <c r="Q113" s="283"/>
      <c r="R113" s="280"/>
      <c r="S113" s="280"/>
      <c r="T113" s="280"/>
      <c r="U113" s="280"/>
      <c r="V113" s="280"/>
      <c r="W113" s="280"/>
      <c r="X113" s="280"/>
      <c r="Y113" s="280"/>
      <c r="Z113" s="280"/>
      <c r="AA113" s="280"/>
      <c r="AB113" s="280"/>
      <c r="AC113" s="280"/>
      <c r="AD113" s="280"/>
      <c r="AE113" s="280"/>
      <c r="AF113" s="280"/>
      <c r="AG113" s="280"/>
      <c r="AH113" s="280"/>
      <c r="AI113" s="224">
        <f t="shared" si="12"/>
        <v>0</v>
      </c>
      <c r="AJ113" s="224">
        <f t="shared" si="13"/>
        <v>0</v>
      </c>
      <c r="AK113" s="224">
        <f t="shared" si="14"/>
        <v>0</v>
      </c>
      <c r="AL113" s="224">
        <f t="shared" si="10"/>
        <v>0</v>
      </c>
      <c r="AM113" s="225">
        <f t="shared" si="11"/>
        <v>0</v>
      </c>
    </row>
    <row r="114" spans="1:45" s="261" customFormat="1" ht="20.100000000000001" customHeight="1" x14ac:dyDescent="0.2">
      <c r="A114" s="234" t="s">
        <v>265</v>
      </c>
      <c r="B114" s="235"/>
      <c r="C114" s="236">
        <v>5000</v>
      </c>
      <c r="D114" s="236">
        <v>5000</v>
      </c>
      <c r="E114" s="235">
        <v>8703.1910000000007</v>
      </c>
      <c r="F114" s="279">
        <v>5000</v>
      </c>
      <c r="G114" s="279"/>
      <c r="H114" s="279"/>
      <c r="I114" s="279"/>
      <c r="J114" s="280"/>
      <c r="K114" s="280"/>
      <c r="L114" s="280"/>
      <c r="M114" s="280"/>
      <c r="N114" s="280"/>
      <c r="O114" s="280"/>
      <c r="P114" s="280"/>
      <c r="Q114" s="280"/>
      <c r="R114" s="280"/>
      <c r="S114" s="280"/>
      <c r="T114" s="280"/>
      <c r="U114" s="280"/>
      <c r="V114" s="280"/>
      <c r="W114" s="280"/>
      <c r="X114" s="280"/>
      <c r="Y114" s="280"/>
      <c r="Z114" s="280"/>
      <c r="AA114" s="280"/>
      <c r="AB114" s="280"/>
      <c r="AC114" s="280"/>
      <c r="AD114" s="280"/>
      <c r="AE114" s="280"/>
      <c r="AF114" s="280"/>
      <c r="AG114" s="280"/>
      <c r="AH114" s="280"/>
      <c r="AI114" s="224">
        <f t="shared" si="12"/>
        <v>5000</v>
      </c>
      <c r="AJ114" s="224">
        <f t="shared" si="13"/>
        <v>5000</v>
      </c>
      <c r="AK114" s="224">
        <f t="shared" si="14"/>
        <v>8703.1910000000007</v>
      </c>
      <c r="AL114" s="224">
        <f t="shared" si="10"/>
        <v>5000</v>
      </c>
      <c r="AM114" s="225">
        <f t="shared" si="11"/>
        <v>0</v>
      </c>
    </row>
    <row r="115" spans="1:45" s="271" customFormat="1" ht="20.100000000000001" hidden="1" customHeight="1" x14ac:dyDescent="0.2">
      <c r="A115" s="234" t="s">
        <v>266</v>
      </c>
      <c r="B115" s="254"/>
      <c r="C115" s="254"/>
      <c r="D115" s="254"/>
      <c r="E115" s="254"/>
      <c r="F115" s="279"/>
      <c r="G115" s="292"/>
      <c r="H115" s="292"/>
      <c r="I115" s="292"/>
      <c r="J115" s="288"/>
      <c r="K115" s="288"/>
      <c r="L115" s="288"/>
      <c r="M115" s="288"/>
      <c r="N115" s="288"/>
      <c r="O115" s="288"/>
      <c r="P115" s="288"/>
      <c r="Q115" s="288"/>
      <c r="R115" s="288"/>
      <c r="S115" s="288"/>
      <c r="T115" s="288"/>
      <c r="U115" s="288"/>
      <c r="V115" s="288"/>
      <c r="W115" s="288"/>
      <c r="X115" s="288"/>
      <c r="Y115" s="288"/>
      <c r="Z115" s="288"/>
      <c r="AA115" s="288"/>
      <c r="AB115" s="288"/>
      <c r="AC115" s="288"/>
      <c r="AD115" s="288"/>
      <c r="AE115" s="288"/>
      <c r="AF115" s="288"/>
      <c r="AG115" s="288"/>
      <c r="AH115" s="288"/>
      <c r="AI115" s="224">
        <f t="shared" si="12"/>
        <v>0</v>
      </c>
      <c r="AJ115" s="224">
        <f t="shared" si="13"/>
        <v>0</v>
      </c>
      <c r="AK115" s="224">
        <f t="shared" si="14"/>
        <v>0</v>
      </c>
      <c r="AL115" s="224">
        <f t="shared" si="10"/>
        <v>0</v>
      </c>
      <c r="AM115" s="225">
        <f t="shared" si="11"/>
        <v>0</v>
      </c>
    </row>
    <row r="116" spans="1:45" s="261" customFormat="1" ht="20.100000000000001" hidden="1" customHeight="1" x14ac:dyDescent="0.2">
      <c r="A116" s="234" t="s">
        <v>267</v>
      </c>
      <c r="B116" s="235"/>
      <c r="C116" s="235"/>
      <c r="D116" s="235"/>
      <c r="E116" s="235"/>
      <c r="F116" s="279"/>
      <c r="G116" s="279"/>
      <c r="H116" s="279"/>
      <c r="I116" s="279"/>
      <c r="J116" s="280"/>
      <c r="K116" s="280"/>
      <c r="L116" s="280"/>
      <c r="M116" s="280"/>
      <c r="N116" s="280"/>
      <c r="O116" s="280"/>
      <c r="P116" s="280"/>
      <c r="Q116" s="280"/>
      <c r="R116" s="280"/>
      <c r="S116" s="280"/>
      <c r="T116" s="280"/>
      <c r="U116" s="280"/>
      <c r="V116" s="280"/>
      <c r="W116" s="280"/>
      <c r="X116" s="280"/>
      <c r="Y116" s="280"/>
      <c r="Z116" s="280"/>
      <c r="AA116" s="280"/>
      <c r="AB116" s="280"/>
      <c r="AC116" s="280"/>
      <c r="AD116" s="280"/>
      <c r="AE116" s="280"/>
      <c r="AF116" s="280"/>
      <c r="AG116" s="280"/>
      <c r="AH116" s="280"/>
      <c r="AI116" s="224">
        <f t="shared" si="12"/>
        <v>0</v>
      </c>
      <c r="AJ116" s="224">
        <f t="shared" si="13"/>
        <v>0</v>
      </c>
      <c r="AK116" s="224">
        <f t="shared" si="14"/>
        <v>0</v>
      </c>
      <c r="AL116" s="224">
        <f t="shared" si="10"/>
        <v>0</v>
      </c>
      <c r="AM116" s="225">
        <f t="shared" si="11"/>
        <v>0</v>
      </c>
    </row>
    <row r="117" spans="1:45" s="261" customFormat="1" ht="20.100000000000001" hidden="1" customHeight="1" x14ac:dyDescent="0.2">
      <c r="A117" s="234" t="s">
        <v>268</v>
      </c>
      <c r="B117" s="235"/>
      <c r="C117" s="235"/>
      <c r="D117" s="235"/>
      <c r="E117" s="235"/>
      <c r="F117" s="283"/>
      <c r="G117" s="283"/>
      <c r="H117" s="283"/>
      <c r="I117" s="283"/>
      <c r="J117" s="280"/>
      <c r="K117" s="280"/>
      <c r="L117" s="280"/>
      <c r="M117" s="280"/>
      <c r="N117" s="280"/>
      <c r="O117" s="280"/>
      <c r="P117" s="280"/>
      <c r="Q117" s="280"/>
      <c r="R117" s="280"/>
      <c r="S117" s="280"/>
      <c r="T117" s="280"/>
      <c r="U117" s="280"/>
      <c r="V117" s="280"/>
      <c r="W117" s="280"/>
      <c r="X117" s="280"/>
      <c r="Y117" s="280"/>
      <c r="Z117" s="280"/>
      <c r="AA117" s="280"/>
      <c r="AB117" s="280"/>
      <c r="AC117" s="280"/>
      <c r="AD117" s="280"/>
      <c r="AE117" s="280"/>
      <c r="AF117" s="280"/>
      <c r="AG117" s="280"/>
      <c r="AH117" s="280"/>
      <c r="AI117" s="224">
        <f t="shared" si="12"/>
        <v>0</v>
      </c>
      <c r="AJ117" s="224">
        <f t="shared" si="13"/>
        <v>0</v>
      </c>
      <c r="AK117" s="224">
        <f t="shared" si="14"/>
        <v>0</v>
      </c>
      <c r="AL117" s="224">
        <f t="shared" si="10"/>
        <v>0</v>
      </c>
      <c r="AM117" s="225">
        <f t="shared" si="11"/>
        <v>0</v>
      </c>
    </row>
    <row r="118" spans="1:45" s="293" customFormat="1" ht="20.100000000000001" customHeight="1" x14ac:dyDescent="0.2">
      <c r="A118" s="1061" t="s">
        <v>1103</v>
      </c>
      <c r="B118" s="1062"/>
      <c r="C118" s="1063">
        <f>+C125</f>
        <v>2204479</v>
      </c>
      <c r="D118" s="1063">
        <f>+D125</f>
        <v>2204479</v>
      </c>
      <c r="E118" s="1062">
        <v>2099478.0920000002</v>
      </c>
      <c r="F118" s="1063">
        <v>2204479</v>
      </c>
      <c r="G118" s="1063"/>
      <c r="H118" s="1063"/>
      <c r="I118" s="1063"/>
      <c r="J118" s="1063">
        <v>0</v>
      </c>
      <c r="K118" s="1063"/>
      <c r="L118" s="1063"/>
      <c r="M118" s="1063"/>
      <c r="N118" s="1063">
        <v>0</v>
      </c>
      <c r="O118" s="1063"/>
      <c r="P118" s="1063"/>
      <c r="Q118" s="1063"/>
      <c r="R118" s="1063">
        <v>0</v>
      </c>
      <c r="S118" s="1063"/>
      <c r="T118" s="1063"/>
      <c r="U118" s="1063"/>
      <c r="V118" s="1063">
        <v>0</v>
      </c>
      <c r="W118" s="1063"/>
      <c r="X118" s="1063"/>
      <c r="Y118" s="1063"/>
      <c r="Z118" s="1063">
        <v>0</v>
      </c>
      <c r="AA118" s="1063"/>
      <c r="AB118" s="1063"/>
      <c r="AC118" s="1063"/>
      <c r="AD118" s="1063">
        <v>0</v>
      </c>
      <c r="AE118" s="1063"/>
      <c r="AF118" s="1063"/>
      <c r="AG118" s="1063"/>
      <c r="AH118" s="1063">
        <v>0</v>
      </c>
      <c r="AI118" s="224">
        <f t="shared" si="12"/>
        <v>2204479</v>
      </c>
      <c r="AJ118" s="224">
        <f t="shared" si="13"/>
        <v>2204479</v>
      </c>
      <c r="AK118" s="224">
        <f t="shared" si="14"/>
        <v>2099478.0920000002</v>
      </c>
      <c r="AL118" s="224">
        <f t="shared" si="10"/>
        <v>2204479</v>
      </c>
      <c r="AM118" s="225">
        <f t="shared" si="11"/>
        <v>0</v>
      </c>
    </row>
    <row r="119" spans="1:45" s="271" customFormat="1" ht="20.100000000000001" hidden="1" customHeight="1" x14ac:dyDescent="0.2">
      <c r="A119" s="234" t="s">
        <v>269</v>
      </c>
      <c r="B119" s="254"/>
      <c r="C119" s="254"/>
      <c r="D119" s="254"/>
      <c r="E119" s="254"/>
      <c r="F119" s="279"/>
      <c r="G119" s="292"/>
      <c r="H119" s="292"/>
      <c r="I119" s="292"/>
      <c r="J119" s="288"/>
      <c r="K119" s="288"/>
      <c r="L119" s="288"/>
      <c r="M119" s="288"/>
      <c r="N119" s="288"/>
      <c r="O119" s="288"/>
      <c r="P119" s="288"/>
      <c r="Q119" s="288"/>
      <c r="R119" s="288"/>
      <c r="S119" s="288"/>
      <c r="T119" s="288"/>
      <c r="U119" s="288"/>
      <c r="V119" s="288"/>
      <c r="W119" s="288"/>
      <c r="X119" s="288"/>
      <c r="Y119" s="288"/>
      <c r="Z119" s="288"/>
      <c r="AA119" s="288"/>
      <c r="AB119" s="288"/>
      <c r="AC119" s="288"/>
      <c r="AD119" s="288"/>
      <c r="AE119" s="288"/>
      <c r="AF119" s="288"/>
      <c r="AG119" s="288"/>
      <c r="AH119" s="288"/>
      <c r="AI119" s="224">
        <f t="shared" si="12"/>
        <v>0</v>
      </c>
      <c r="AJ119" s="224">
        <f t="shared" si="13"/>
        <v>0</v>
      </c>
      <c r="AK119" s="224">
        <f t="shared" si="14"/>
        <v>0</v>
      </c>
      <c r="AL119" s="224">
        <f t="shared" si="10"/>
        <v>0</v>
      </c>
      <c r="AM119" s="225">
        <f t="shared" si="11"/>
        <v>0</v>
      </c>
    </row>
    <row r="120" spans="1:45" s="261" customFormat="1" ht="20.100000000000001" hidden="1" customHeight="1" x14ac:dyDescent="0.2">
      <c r="A120" s="234" t="s">
        <v>270</v>
      </c>
      <c r="B120" s="235"/>
      <c r="C120" s="235"/>
      <c r="D120" s="235"/>
      <c r="E120" s="235"/>
      <c r="F120" s="279"/>
      <c r="G120" s="279"/>
      <c r="H120" s="279"/>
      <c r="I120" s="279"/>
      <c r="J120" s="280"/>
      <c r="K120" s="280"/>
      <c r="L120" s="280"/>
      <c r="M120" s="280"/>
      <c r="N120" s="280"/>
      <c r="O120" s="280"/>
      <c r="P120" s="280"/>
      <c r="Q120" s="280"/>
      <c r="R120" s="280"/>
      <c r="S120" s="280"/>
      <c r="T120" s="280"/>
      <c r="U120" s="280"/>
      <c r="V120" s="280"/>
      <c r="W120" s="280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24">
        <f t="shared" si="12"/>
        <v>0</v>
      </c>
      <c r="AJ120" s="224">
        <f t="shared" si="13"/>
        <v>0</v>
      </c>
      <c r="AK120" s="224">
        <f t="shared" si="14"/>
        <v>0</v>
      </c>
      <c r="AL120" s="224">
        <f t="shared" si="10"/>
        <v>0</v>
      </c>
      <c r="AM120" s="225">
        <f t="shared" si="11"/>
        <v>0</v>
      </c>
    </row>
    <row r="121" spans="1:45" s="261" customFormat="1" ht="20.100000000000001" hidden="1" customHeight="1" x14ac:dyDescent="0.2">
      <c r="A121" s="234" t="s">
        <v>271</v>
      </c>
      <c r="B121" s="235"/>
      <c r="C121" s="235"/>
      <c r="D121" s="235"/>
      <c r="E121" s="235"/>
      <c r="F121" s="283"/>
      <c r="G121" s="283"/>
      <c r="H121" s="283"/>
      <c r="I121" s="283"/>
      <c r="J121" s="283"/>
      <c r="K121" s="283"/>
      <c r="L121" s="283"/>
      <c r="M121" s="283"/>
      <c r="N121" s="283"/>
      <c r="O121" s="283"/>
      <c r="P121" s="283"/>
      <c r="Q121" s="283"/>
      <c r="R121" s="280"/>
      <c r="S121" s="280"/>
      <c r="T121" s="280"/>
      <c r="U121" s="280"/>
      <c r="V121" s="280"/>
      <c r="W121" s="280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24">
        <f t="shared" si="12"/>
        <v>0</v>
      </c>
      <c r="AJ121" s="224">
        <f t="shared" si="13"/>
        <v>0</v>
      </c>
      <c r="AK121" s="224">
        <f t="shared" si="14"/>
        <v>0</v>
      </c>
      <c r="AL121" s="224">
        <f t="shared" si="10"/>
        <v>0</v>
      </c>
      <c r="AM121" s="225">
        <f t="shared" si="11"/>
        <v>0</v>
      </c>
    </row>
    <row r="122" spans="1:45" s="261" customFormat="1" ht="20.100000000000001" hidden="1" customHeight="1" x14ac:dyDescent="0.2">
      <c r="A122" s="234" t="s">
        <v>272</v>
      </c>
      <c r="B122" s="235"/>
      <c r="C122" s="235"/>
      <c r="D122" s="235"/>
      <c r="E122" s="235"/>
      <c r="F122" s="279"/>
      <c r="G122" s="279"/>
      <c r="H122" s="279"/>
      <c r="I122" s="279"/>
      <c r="J122" s="280"/>
      <c r="K122" s="280"/>
      <c r="L122" s="280"/>
      <c r="M122" s="280"/>
      <c r="N122" s="280"/>
      <c r="O122" s="280"/>
      <c r="P122" s="280"/>
      <c r="Q122" s="280"/>
      <c r="R122" s="280"/>
      <c r="S122" s="280"/>
      <c r="T122" s="280"/>
      <c r="U122" s="280"/>
      <c r="V122" s="280"/>
      <c r="W122" s="280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24">
        <f t="shared" si="12"/>
        <v>0</v>
      </c>
      <c r="AJ122" s="224">
        <f t="shared" si="13"/>
        <v>0</v>
      </c>
      <c r="AK122" s="224">
        <f t="shared" si="14"/>
        <v>0</v>
      </c>
      <c r="AL122" s="224">
        <f t="shared" si="10"/>
        <v>0</v>
      </c>
      <c r="AM122" s="225">
        <f t="shared" si="11"/>
        <v>0</v>
      </c>
    </row>
    <row r="123" spans="1:45" s="261" customFormat="1" ht="26.25" hidden="1" customHeight="1" x14ac:dyDescent="0.2">
      <c r="A123" s="234" t="s">
        <v>273</v>
      </c>
      <c r="B123" s="235"/>
      <c r="C123" s="235"/>
      <c r="D123" s="235"/>
      <c r="E123" s="235"/>
      <c r="F123" s="279"/>
      <c r="G123" s="279"/>
      <c r="H123" s="279"/>
      <c r="I123" s="279"/>
      <c r="J123" s="280"/>
      <c r="K123" s="280"/>
      <c r="L123" s="280"/>
      <c r="M123" s="280"/>
      <c r="N123" s="280"/>
      <c r="O123" s="280"/>
      <c r="P123" s="280"/>
      <c r="Q123" s="280"/>
      <c r="R123" s="280"/>
      <c r="S123" s="280"/>
      <c r="T123" s="280"/>
      <c r="U123" s="280"/>
      <c r="V123" s="280"/>
      <c r="W123" s="280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24">
        <f t="shared" si="12"/>
        <v>0</v>
      </c>
      <c r="AJ123" s="224">
        <f t="shared" si="13"/>
        <v>0</v>
      </c>
      <c r="AK123" s="224">
        <f t="shared" si="14"/>
        <v>0</v>
      </c>
      <c r="AL123" s="224">
        <f t="shared" si="10"/>
        <v>0</v>
      </c>
      <c r="AM123" s="225">
        <f t="shared" si="11"/>
        <v>0</v>
      </c>
    </row>
    <row r="124" spans="1:45" s="261" customFormat="1" ht="20.100000000000001" hidden="1" customHeight="1" x14ac:dyDescent="0.2">
      <c r="A124" s="234" t="s">
        <v>274</v>
      </c>
      <c r="B124" s="235"/>
      <c r="C124" s="235"/>
      <c r="D124" s="235"/>
      <c r="E124" s="235"/>
      <c r="F124" s="279"/>
      <c r="G124" s="279"/>
      <c r="H124" s="279"/>
      <c r="I124" s="279"/>
      <c r="J124" s="280"/>
      <c r="K124" s="280"/>
      <c r="L124" s="280"/>
      <c r="M124" s="280"/>
      <c r="N124" s="280"/>
      <c r="O124" s="280"/>
      <c r="P124" s="280"/>
      <c r="Q124" s="280"/>
      <c r="R124" s="280"/>
      <c r="S124" s="280"/>
      <c r="T124" s="280"/>
      <c r="U124" s="280"/>
      <c r="V124" s="280"/>
      <c r="W124" s="280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24">
        <f t="shared" si="12"/>
        <v>0</v>
      </c>
      <c r="AJ124" s="224">
        <f t="shared" si="13"/>
        <v>0</v>
      </c>
      <c r="AK124" s="224">
        <f t="shared" si="14"/>
        <v>0</v>
      </c>
      <c r="AL124" s="224">
        <f t="shared" si="10"/>
        <v>0</v>
      </c>
      <c r="AM124" s="225">
        <f t="shared" si="11"/>
        <v>0</v>
      </c>
    </row>
    <row r="125" spans="1:45" s="261" customFormat="1" ht="41.45" customHeight="1" x14ac:dyDescent="0.2">
      <c r="A125" s="234" t="s">
        <v>275</v>
      </c>
      <c r="B125" s="235"/>
      <c r="C125" s="279">
        <v>2204479</v>
      </c>
      <c r="D125" s="279">
        <v>2204479</v>
      </c>
      <c r="E125" s="235">
        <v>2099478.0920000002</v>
      </c>
      <c r="F125" s="279">
        <v>2204479</v>
      </c>
      <c r="G125" s="279"/>
      <c r="H125" s="279"/>
      <c r="I125" s="279"/>
      <c r="J125" s="280"/>
      <c r="K125" s="280"/>
      <c r="L125" s="280"/>
      <c r="M125" s="280"/>
      <c r="N125" s="280"/>
      <c r="O125" s="280"/>
      <c r="P125" s="280"/>
      <c r="Q125" s="280"/>
      <c r="R125" s="280"/>
      <c r="S125" s="280"/>
      <c r="T125" s="280"/>
      <c r="U125" s="280"/>
      <c r="V125" s="280"/>
      <c r="W125" s="280"/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  <c r="AI125" s="224">
        <f t="shared" si="12"/>
        <v>2204479</v>
      </c>
      <c r="AJ125" s="224">
        <f t="shared" si="13"/>
        <v>2204479</v>
      </c>
      <c r="AK125" s="224">
        <f t="shared" si="14"/>
        <v>2099478.0920000002</v>
      </c>
      <c r="AL125" s="224">
        <f t="shared" si="10"/>
        <v>2204479</v>
      </c>
      <c r="AM125" s="225">
        <f t="shared" si="11"/>
        <v>0</v>
      </c>
      <c r="AR125" s="294"/>
      <c r="AS125" s="294"/>
    </row>
    <row r="126" spans="1:45" s="261" customFormat="1" ht="27.75" hidden="1" customHeight="1" x14ac:dyDescent="0.2">
      <c r="A126" s="234" t="s">
        <v>276</v>
      </c>
      <c r="B126" s="235"/>
      <c r="C126" s="235"/>
      <c r="D126" s="235"/>
      <c r="E126" s="235"/>
      <c r="F126" s="279" t="s">
        <v>1084</v>
      </c>
      <c r="G126" s="279"/>
      <c r="H126" s="279"/>
      <c r="I126" s="279"/>
      <c r="J126" s="280"/>
      <c r="K126" s="280"/>
      <c r="L126" s="280"/>
      <c r="M126" s="280"/>
      <c r="N126" s="280"/>
      <c r="O126" s="280"/>
      <c r="P126" s="280"/>
      <c r="Q126" s="280"/>
      <c r="R126" s="280"/>
      <c r="S126" s="280"/>
      <c r="T126" s="280"/>
      <c r="U126" s="280"/>
      <c r="V126" s="280"/>
      <c r="W126" s="280"/>
      <c r="X126" s="280"/>
      <c r="Y126" s="280"/>
      <c r="Z126" s="280"/>
      <c r="AA126" s="280"/>
      <c r="AB126" s="280"/>
      <c r="AC126" s="280"/>
      <c r="AD126" s="280"/>
      <c r="AE126" s="280"/>
      <c r="AF126" s="280"/>
      <c r="AG126" s="280"/>
      <c r="AH126" s="280"/>
      <c r="AI126" s="224">
        <f t="shared" si="12"/>
        <v>0</v>
      </c>
      <c r="AJ126" s="224">
        <f t="shared" si="13"/>
        <v>0</v>
      </c>
      <c r="AK126" s="224">
        <f t="shared" si="14"/>
        <v>0</v>
      </c>
      <c r="AL126" s="224" t="e">
        <f t="shared" si="10"/>
        <v>#VALUE!</v>
      </c>
      <c r="AM126" s="225">
        <f t="shared" si="11"/>
        <v>0</v>
      </c>
    </row>
    <row r="127" spans="1:45" s="261" customFormat="1" ht="20.100000000000001" hidden="1" customHeight="1" x14ac:dyDescent="0.2">
      <c r="A127" s="234" t="s">
        <v>277</v>
      </c>
      <c r="B127" s="235"/>
      <c r="C127" s="235"/>
      <c r="D127" s="235"/>
      <c r="E127" s="235"/>
      <c r="F127" s="279"/>
      <c r="G127" s="279"/>
      <c r="H127" s="279"/>
      <c r="I127" s="279"/>
      <c r="J127" s="280"/>
      <c r="K127" s="280"/>
      <c r="L127" s="280"/>
      <c r="M127" s="280"/>
      <c r="N127" s="280"/>
      <c r="O127" s="280"/>
      <c r="P127" s="280"/>
      <c r="Q127" s="280"/>
      <c r="R127" s="280"/>
      <c r="S127" s="280"/>
      <c r="T127" s="280"/>
      <c r="U127" s="280"/>
      <c r="V127" s="280"/>
      <c r="W127" s="280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  <c r="AI127" s="224">
        <f t="shared" si="12"/>
        <v>0</v>
      </c>
      <c r="AJ127" s="224">
        <f t="shared" si="13"/>
        <v>0</v>
      </c>
      <c r="AK127" s="224">
        <f t="shared" si="14"/>
        <v>0</v>
      </c>
      <c r="AL127" s="224">
        <f t="shared" si="10"/>
        <v>0</v>
      </c>
      <c r="AM127" s="225">
        <f t="shared" si="11"/>
        <v>0</v>
      </c>
    </row>
    <row r="128" spans="1:45" s="261" customFormat="1" ht="26.25" hidden="1" customHeight="1" x14ac:dyDescent="0.2">
      <c r="A128" s="234" t="s">
        <v>278</v>
      </c>
      <c r="B128" s="235"/>
      <c r="C128" s="235"/>
      <c r="D128" s="235"/>
      <c r="E128" s="235"/>
      <c r="F128" s="283"/>
      <c r="G128" s="283"/>
      <c r="H128" s="283"/>
      <c r="I128" s="283"/>
      <c r="J128" s="280"/>
      <c r="K128" s="280"/>
      <c r="L128" s="280"/>
      <c r="M128" s="280"/>
      <c r="N128" s="280"/>
      <c r="O128" s="280"/>
      <c r="P128" s="280"/>
      <c r="Q128" s="280"/>
      <c r="R128" s="280"/>
      <c r="S128" s="280"/>
      <c r="T128" s="280"/>
      <c r="U128" s="280"/>
      <c r="V128" s="280"/>
      <c r="W128" s="280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24">
        <f t="shared" si="12"/>
        <v>0</v>
      </c>
      <c r="AJ128" s="224">
        <f t="shared" si="13"/>
        <v>0</v>
      </c>
      <c r="AK128" s="224">
        <f t="shared" si="14"/>
        <v>0</v>
      </c>
      <c r="AL128" s="224">
        <f t="shared" si="10"/>
        <v>0</v>
      </c>
      <c r="AM128" s="225">
        <f t="shared" si="11"/>
        <v>0</v>
      </c>
    </row>
    <row r="129" spans="1:39" s="261" customFormat="1" ht="31.5" hidden="1" customHeight="1" x14ac:dyDescent="0.2">
      <c r="A129" s="234" t="s">
        <v>279</v>
      </c>
      <c r="B129" s="235"/>
      <c r="C129" s="235"/>
      <c r="D129" s="235"/>
      <c r="E129" s="235"/>
      <c r="F129" s="279"/>
      <c r="G129" s="279"/>
      <c r="H129" s="279"/>
      <c r="I129" s="279"/>
      <c r="J129" s="280"/>
      <c r="K129" s="280"/>
      <c r="L129" s="280"/>
      <c r="M129" s="280"/>
      <c r="N129" s="280"/>
      <c r="O129" s="280"/>
      <c r="P129" s="280"/>
      <c r="Q129" s="280"/>
      <c r="R129" s="280"/>
      <c r="S129" s="280"/>
      <c r="T129" s="280"/>
      <c r="U129" s="280"/>
      <c r="V129" s="280"/>
      <c r="W129" s="280"/>
      <c r="X129" s="280"/>
      <c r="Y129" s="280"/>
      <c r="Z129" s="280"/>
      <c r="AA129" s="280"/>
      <c r="AB129" s="280"/>
      <c r="AC129" s="280"/>
      <c r="AD129" s="280"/>
      <c r="AE129" s="280"/>
      <c r="AF129" s="280"/>
      <c r="AG129" s="280"/>
      <c r="AH129" s="280"/>
      <c r="AI129" s="224">
        <f t="shared" si="12"/>
        <v>0</v>
      </c>
      <c r="AJ129" s="224">
        <f t="shared" si="13"/>
        <v>0</v>
      </c>
      <c r="AK129" s="224">
        <f t="shared" si="14"/>
        <v>0</v>
      </c>
      <c r="AL129" s="224">
        <f t="shared" si="10"/>
        <v>0</v>
      </c>
      <c r="AM129" s="225">
        <f t="shared" si="11"/>
        <v>0</v>
      </c>
    </row>
    <row r="130" spans="1:39" s="261" customFormat="1" ht="41.25" hidden="1" customHeight="1" x14ac:dyDescent="0.2">
      <c r="A130" s="234" t="s">
        <v>280</v>
      </c>
      <c r="B130" s="235"/>
      <c r="C130" s="235"/>
      <c r="D130" s="235"/>
      <c r="E130" s="235"/>
      <c r="F130" s="279"/>
      <c r="G130" s="279"/>
      <c r="H130" s="279"/>
      <c r="I130" s="279"/>
      <c r="J130" s="280"/>
      <c r="K130" s="280"/>
      <c r="L130" s="280"/>
      <c r="M130" s="280"/>
      <c r="N130" s="280"/>
      <c r="O130" s="280"/>
      <c r="P130" s="280"/>
      <c r="Q130" s="280"/>
      <c r="R130" s="280"/>
      <c r="S130" s="280"/>
      <c r="T130" s="280"/>
      <c r="U130" s="280"/>
      <c r="V130" s="280"/>
      <c r="W130" s="280"/>
      <c r="X130" s="280"/>
      <c r="Y130" s="280"/>
      <c r="Z130" s="280"/>
      <c r="AA130" s="280"/>
      <c r="AB130" s="280"/>
      <c r="AC130" s="280"/>
      <c r="AD130" s="280"/>
      <c r="AE130" s="280"/>
      <c r="AF130" s="280"/>
      <c r="AG130" s="280"/>
      <c r="AH130" s="280"/>
      <c r="AI130" s="224">
        <f t="shared" si="12"/>
        <v>0</v>
      </c>
      <c r="AJ130" s="224">
        <f t="shared" si="13"/>
        <v>0</v>
      </c>
      <c r="AK130" s="224">
        <f t="shared" si="14"/>
        <v>0</v>
      </c>
      <c r="AL130" s="224">
        <f t="shared" si="10"/>
        <v>0</v>
      </c>
      <c r="AM130" s="225">
        <f t="shared" si="11"/>
        <v>0</v>
      </c>
    </row>
    <row r="131" spans="1:39" s="261" customFormat="1" ht="40.5" hidden="1" customHeight="1" x14ac:dyDescent="0.2">
      <c r="A131" s="234" t="s">
        <v>281</v>
      </c>
      <c r="B131" s="235"/>
      <c r="C131" s="235"/>
      <c r="D131" s="235"/>
      <c r="E131" s="235"/>
      <c r="F131" s="279"/>
      <c r="G131" s="279"/>
      <c r="H131" s="279"/>
      <c r="I131" s="279"/>
      <c r="J131" s="280"/>
      <c r="K131" s="280"/>
      <c r="L131" s="280"/>
      <c r="M131" s="280"/>
      <c r="N131" s="280"/>
      <c r="O131" s="280"/>
      <c r="P131" s="280"/>
      <c r="Q131" s="280"/>
      <c r="R131" s="280"/>
      <c r="S131" s="280"/>
      <c r="T131" s="280"/>
      <c r="U131" s="280"/>
      <c r="V131" s="280"/>
      <c r="W131" s="280"/>
      <c r="X131" s="280"/>
      <c r="Y131" s="280"/>
      <c r="Z131" s="280"/>
      <c r="AA131" s="280"/>
      <c r="AB131" s="280"/>
      <c r="AC131" s="280"/>
      <c r="AD131" s="280"/>
      <c r="AE131" s="280"/>
      <c r="AF131" s="280"/>
      <c r="AG131" s="280"/>
      <c r="AH131" s="280"/>
      <c r="AI131" s="224">
        <f t="shared" si="12"/>
        <v>0</v>
      </c>
      <c r="AJ131" s="224">
        <f t="shared" si="13"/>
        <v>0</v>
      </c>
      <c r="AK131" s="224">
        <f t="shared" si="14"/>
        <v>0</v>
      </c>
      <c r="AL131" s="224">
        <f t="shared" si="10"/>
        <v>0</v>
      </c>
      <c r="AM131" s="225">
        <f t="shared" si="11"/>
        <v>0</v>
      </c>
    </row>
    <row r="132" spans="1:39" s="261" customFormat="1" ht="42" hidden="1" customHeight="1" x14ac:dyDescent="0.2">
      <c r="A132" s="234" t="s">
        <v>282</v>
      </c>
      <c r="B132" s="235"/>
      <c r="C132" s="235"/>
      <c r="D132" s="235"/>
      <c r="E132" s="235"/>
      <c r="F132" s="279"/>
      <c r="G132" s="279"/>
      <c r="H132" s="279"/>
      <c r="I132" s="279"/>
      <c r="J132" s="280"/>
      <c r="K132" s="280"/>
      <c r="L132" s="280"/>
      <c r="M132" s="280"/>
      <c r="N132" s="280"/>
      <c r="O132" s="280"/>
      <c r="P132" s="280"/>
      <c r="Q132" s="280"/>
      <c r="R132" s="280"/>
      <c r="S132" s="280"/>
      <c r="T132" s="280"/>
      <c r="U132" s="280"/>
      <c r="V132" s="280"/>
      <c r="W132" s="280"/>
      <c r="X132" s="280"/>
      <c r="Y132" s="280"/>
      <c r="Z132" s="280"/>
      <c r="AA132" s="280"/>
      <c r="AB132" s="280"/>
      <c r="AC132" s="280"/>
      <c r="AD132" s="280"/>
      <c r="AE132" s="280"/>
      <c r="AF132" s="280"/>
      <c r="AG132" s="280"/>
      <c r="AH132" s="280"/>
      <c r="AI132" s="224">
        <f t="shared" si="12"/>
        <v>0</v>
      </c>
      <c r="AJ132" s="224">
        <f t="shared" si="13"/>
        <v>0</v>
      </c>
      <c r="AK132" s="224">
        <f t="shared" si="14"/>
        <v>0</v>
      </c>
      <c r="AL132" s="224">
        <f t="shared" ref="AL132:AL195" si="15">F132+J132+N132+R132+V132+Z132+AD132+AH132</f>
        <v>0</v>
      </c>
      <c r="AM132" s="225">
        <f t="shared" ref="AM132:AM195" si="16">J132+N132+R132+V132+Z132+AD132+AH132</f>
        <v>0</v>
      </c>
    </row>
    <row r="133" spans="1:39" s="261" customFormat="1" ht="20.100000000000001" hidden="1" customHeight="1" x14ac:dyDescent="0.2">
      <c r="A133" s="234" t="s">
        <v>283</v>
      </c>
      <c r="B133" s="235"/>
      <c r="C133" s="235"/>
      <c r="D133" s="235"/>
      <c r="E133" s="235"/>
      <c r="F133" s="279"/>
      <c r="G133" s="279"/>
      <c r="H133" s="279"/>
      <c r="I133" s="279"/>
      <c r="J133" s="280"/>
      <c r="K133" s="280"/>
      <c r="L133" s="280"/>
      <c r="M133" s="280"/>
      <c r="N133" s="280"/>
      <c r="O133" s="280"/>
      <c r="P133" s="280"/>
      <c r="Q133" s="280"/>
      <c r="R133" s="280"/>
      <c r="S133" s="280"/>
      <c r="T133" s="280"/>
      <c r="U133" s="280"/>
      <c r="V133" s="280"/>
      <c r="W133" s="280"/>
      <c r="X133" s="280"/>
      <c r="Y133" s="280"/>
      <c r="Z133" s="280"/>
      <c r="AA133" s="280"/>
      <c r="AB133" s="280"/>
      <c r="AC133" s="280"/>
      <c r="AD133" s="280"/>
      <c r="AE133" s="280"/>
      <c r="AF133" s="280"/>
      <c r="AG133" s="280"/>
      <c r="AH133" s="280"/>
      <c r="AI133" s="224">
        <f t="shared" si="12"/>
        <v>0</v>
      </c>
      <c r="AJ133" s="224">
        <f t="shared" si="13"/>
        <v>0</v>
      </c>
      <c r="AK133" s="224">
        <f t="shared" si="14"/>
        <v>0</v>
      </c>
      <c r="AL133" s="224">
        <f t="shared" si="15"/>
        <v>0</v>
      </c>
      <c r="AM133" s="225">
        <f t="shared" si="16"/>
        <v>0</v>
      </c>
    </row>
    <row r="134" spans="1:39" s="261" customFormat="1" ht="20.100000000000001" hidden="1" customHeight="1" x14ac:dyDescent="0.2">
      <c r="A134" s="234" t="s">
        <v>284</v>
      </c>
      <c r="B134" s="235"/>
      <c r="C134" s="235"/>
      <c r="D134" s="235"/>
      <c r="E134" s="235"/>
      <c r="F134" s="279"/>
      <c r="G134" s="279"/>
      <c r="H134" s="279"/>
      <c r="I134" s="279"/>
      <c r="J134" s="280"/>
      <c r="K134" s="280"/>
      <c r="L134" s="280"/>
      <c r="M134" s="280"/>
      <c r="N134" s="280"/>
      <c r="O134" s="280"/>
      <c r="P134" s="280"/>
      <c r="Q134" s="280"/>
      <c r="R134" s="280"/>
      <c r="S134" s="280"/>
      <c r="T134" s="280"/>
      <c r="U134" s="280"/>
      <c r="V134" s="280"/>
      <c r="W134" s="280"/>
      <c r="X134" s="280"/>
      <c r="Y134" s="280"/>
      <c r="Z134" s="280"/>
      <c r="AA134" s="280"/>
      <c r="AB134" s="280"/>
      <c r="AC134" s="280"/>
      <c r="AD134" s="280"/>
      <c r="AE134" s="280"/>
      <c r="AF134" s="280"/>
      <c r="AG134" s="280"/>
      <c r="AH134" s="280"/>
      <c r="AI134" s="224">
        <f t="shared" si="12"/>
        <v>0</v>
      </c>
      <c r="AJ134" s="224">
        <f t="shared" si="13"/>
        <v>0</v>
      </c>
      <c r="AK134" s="224">
        <f t="shared" si="14"/>
        <v>0</v>
      </c>
      <c r="AL134" s="224">
        <f t="shared" si="15"/>
        <v>0</v>
      </c>
      <c r="AM134" s="225">
        <f t="shared" si="16"/>
        <v>0</v>
      </c>
    </row>
    <row r="135" spans="1:39" s="261" customFormat="1" ht="20.100000000000001" hidden="1" customHeight="1" x14ac:dyDescent="0.2">
      <c r="A135" s="234" t="s">
        <v>285</v>
      </c>
      <c r="B135" s="235"/>
      <c r="C135" s="235"/>
      <c r="D135" s="235"/>
      <c r="E135" s="235"/>
      <c r="F135" s="279"/>
      <c r="G135" s="279"/>
      <c r="H135" s="279"/>
      <c r="I135" s="279"/>
      <c r="J135" s="280"/>
      <c r="K135" s="280"/>
      <c r="L135" s="280"/>
      <c r="M135" s="280"/>
      <c r="N135" s="280"/>
      <c r="O135" s="280"/>
      <c r="P135" s="280"/>
      <c r="Q135" s="280"/>
      <c r="R135" s="280"/>
      <c r="S135" s="280"/>
      <c r="T135" s="280"/>
      <c r="U135" s="280"/>
      <c r="V135" s="280"/>
      <c r="W135" s="280"/>
      <c r="X135" s="280"/>
      <c r="Y135" s="280"/>
      <c r="Z135" s="280"/>
      <c r="AA135" s="280"/>
      <c r="AB135" s="280"/>
      <c r="AC135" s="280"/>
      <c r="AD135" s="280"/>
      <c r="AE135" s="280"/>
      <c r="AF135" s="280"/>
      <c r="AG135" s="280"/>
      <c r="AH135" s="280"/>
      <c r="AI135" s="224">
        <f t="shared" si="12"/>
        <v>0</v>
      </c>
      <c r="AJ135" s="224">
        <f t="shared" si="13"/>
        <v>0</v>
      </c>
      <c r="AK135" s="224">
        <f t="shared" si="14"/>
        <v>0</v>
      </c>
      <c r="AL135" s="224">
        <f t="shared" si="15"/>
        <v>0</v>
      </c>
      <c r="AM135" s="225">
        <f t="shared" si="16"/>
        <v>0</v>
      </c>
    </row>
    <row r="136" spans="1:39" s="261" customFormat="1" ht="20.100000000000001" hidden="1" customHeight="1" x14ac:dyDescent="0.2">
      <c r="A136" s="234" t="s">
        <v>286</v>
      </c>
      <c r="B136" s="235"/>
      <c r="C136" s="235"/>
      <c r="D136" s="235"/>
      <c r="E136" s="235"/>
      <c r="F136" s="279"/>
      <c r="G136" s="279"/>
      <c r="H136" s="279"/>
      <c r="I136" s="279"/>
      <c r="J136" s="280"/>
      <c r="K136" s="280"/>
      <c r="L136" s="280"/>
      <c r="M136" s="280"/>
      <c r="N136" s="280"/>
      <c r="O136" s="280"/>
      <c r="P136" s="280"/>
      <c r="Q136" s="280"/>
      <c r="R136" s="280"/>
      <c r="S136" s="280"/>
      <c r="T136" s="280"/>
      <c r="U136" s="280"/>
      <c r="V136" s="280"/>
      <c r="W136" s="280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24">
        <f t="shared" ref="AI136:AI199" si="17">C136+G136+K136+O136+S136+W136+AA136+AE136</f>
        <v>0</v>
      </c>
      <c r="AJ136" s="224">
        <f t="shared" ref="AJ136:AJ199" si="18">D136+H136+L136+P136+T136+X136+AB136+AF136</f>
        <v>0</v>
      </c>
      <c r="AK136" s="224">
        <f t="shared" ref="AK136:AK199" si="19">E136+I136+M136+Q136+U136+Y136+AC136+AG136</f>
        <v>0</v>
      </c>
      <c r="AL136" s="224">
        <f t="shared" si="15"/>
        <v>0</v>
      </c>
      <c r="AM136" s="225">
        <f t="shared" si="16"/>
        <v>0</v>
      </c>
    </row>
    <row r="137" spans="1:39" s="261" customFormat="1" ht="20.100000000000001" hidden="1" customHeight="1" x14ac:dyDescent="0.2">
      <c r="A137" s="234" t="s">
        <v>287</v>
      </c>
      <c r="B137" s="235"/>
      <c r="C137" s="235"/>
      <c r="D137" s="235"/>
      <c r="E137" s="235"/>
      <c r="F137" s="279"/>
      <c r="G137" s="279"/>
      <c r="H137" s="279"/>
      <c r="I137" s="279"/>
      <c r="J137" s="280"/>
      <c r="K137" s="280"/>
      <c r="L137" s="280"/>
      <c r="M137" s="280"/>
      <c r="N137" s="280"/>
      <c r="O137" s="280"/>
      <c r="P137" s="280"/>
      <c r="Q137" s="280"/>
      <c r="R137" s="280"/>
      <c r="S137" s="280"/>
      <c r="T137" s="280"/>
      <c r="U137" s="280"/>
      <c r="V137" s="280"/>
      <c r="W137" s="280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24">
        <f t="shared" si="17"/>
        <v>0</v>
      </c>
      <c r="AJ137" s="224">
        <f t="shared" si="18"/>
        <v>0</v>
      </c>
      <c r="AK137" s="224">
        <f t="shared" si="19"/>
        <v>0</v>
      </c>
      <c r="AL137" s="224">
        <f t="shared" si="15"/>
        <v>0</v>
      </c>
      <c r="AM137" s="225">
        <f t="shared" si="16"/>
        <v>0</v>
      </c>
    </row>
    <row r="138" spans="1:39" s="261" customFormat="1" ht="57" hidden="1" customHeight="1" x14ac:dyDescent="0.2">
      <c r="A138" s="234" t="s">
        <v>288</v>
      </c>
      <c r="B138" s="235"/>
      <c r="C138" s="235"/>
      <c r="D138" s="235"/>
      <c r="E138" s="235"/>
      <c r="F138" s="279"/>
      <c r="G138" s="279"/>
      <c r="H138" s="279"/>
      <c r="I138" s="279"/>
      <c r="J138" s="280"/>
      <c r="K138" s="280"/>
      <c r="L138" s="280"/>
      <c r="M138" s="280"/>
      <c r="N138" s="280"/>
      <c r="O138" s="280"/>
      <c r="P138" s="280"/>
      <c r="Q138" s="280"/>
      <c r="R138" s="280"/>
      <c r="S138" s="280"/>
      <c r="T138" s="280"/>
      <c r="U138" s="280"/>
      <c r="V138" s="280"/>
      <c r="W138" s="280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24">
        <f t="shared" si="17"/>
        <v>0</v>
      </c>
      <c r="AJ138" s="224">
        <f t="shared" si="18"/>
        <v>0</v>
      </c>
      <c r="AK138" s="224">
        <f t="shared" si="19"/>
        <v>0</v>
      </c>
      <c r="AL138" s="224">
        <f t="shared" si="15"/>
        <v>0</v>
      </c>
      <c r="AM138" s="225">
        <f t="shared" si="16"/>
        <v>0</v>
      </c>
    </row>
    <row r="139" spans="1:39" s="282" customFormat="1" ht="20.100000000000001" hidden="1" customHeight="1" x14ac:dyDescent="0.2">
      <c r="A139" s="232" t="s">
        <v>289</v>
      </c>
      <c r="B139" s="252"/>
      <c r="C139" s="252"/>
      <c r="D139" s="252"/>
      <c r="E139" s="252"/>
      <c r="F139" s="295">
        <v>0</v>
      </c>
      <c r="G139" s="295"/>
      <c r="H139" s="295"/>
      <c r="I139" s="295"/>
      <c r="J139" s="295">
        <v>0</v>
      </c>
      <c r="K139" s="295"/>
      <c r="L139" s="295"/>
      <c r="M139" s="295"/>
      <c r="N139" s="295">
        <v>0</v>
      </c>
      <c r="O139" s="295"/>
      <c r="P139" s="295"/>
      <c r="Q139" s="295"/>
      <c r="R139" s="295">
        <v>0</v>
      </c>
      <c r="S139" s="295"/>
      <c r="T139" s="295"/>
      <c r="U139" s="295"/>
      <c r="V139" s="295">
        <v>0</v>
      </c>
      <c r="W139" s="295"/>
      <c r="X139" s="295"/>
      <c r="Y139" s="295"/>
      <c r="Z139" s="295">
        <v>0</v>
      </c>
      <c r="AA139" s="295"/>
      <c r="AB139" s="295"/>
      <c r="AC139" s="295"/>
      <c r="AD139" s="295">
        <v>0</v>
      </c>
      <c r="AE139" s="295"/>
      <c r="AF139" s="295"/>
      <c r="AG139" s="295"/>
      <c r="AH139" s="295">
        <v>0</v>
      </c>
      <c r="AI139" s="224">
        <f t="shared" si="17"/>
        <v>0</v>
      </c>
      <c r="AJ139" s="224">
        <f t="shared" si="18"/>
        <v>0</v>
      </c>
      <c r="AK139" s="224">
        <f t="shared" si="19"/>
        <v>0</v>
      </c>
      <c r="AL139" s="224">
        <f t="shared" si="15"/>
        <v>0</v>
      </c>
      <c r="AM139" s="225">
        <f t="shared" si="16"/>
        <v>0</v>
      </c>
    </row>
    <row r="140" spans="1:39" s="264" customFormat="1" ht="20.100000000000001" hidden="1" customHeight="1" x14ac:dyDescent="0.2">
      <c r="A140" s="234" t="s">
        <v>290</v>
      </c>
      <c r="B140" s="254"/>
      <c r="C140" s="254"/>
      <c r="D140" s="254"/>
      <c r="E140" s="254"/>
      <c r="F140" s="279"/>
      <c r="G140" s="292"/>
      <c r="H140" s="292"/>
      <c r="I140" s="292"/>
      <c r="J140" s="288"/>
      <c r="K140" s="288"/>
      <c r="L140" s="288"/>
      <c r="M140" s="288"/>
      <c r="N140" s="286"/>
      <c r="O140" s="286"/>
      <c r="P140" s="286"/>
      <c r="Q140" s="286"/>
      <c r="R140" s="286"/>
      <c r="S140" s="286"/>
      <c r="T140" s="286"/>
      <c r="U140" s="286"/>
      <c r="V140" s="286"/>
      <c r="W140" s="286"/>
      <c r="X140" s="286"/>
      <c r="Y140" s="286"/>
      <c r="Z140" s="286"/>
      <c r="AA140" s="286"/>
      <c r="AB140" s="286"/>
      <c r="AC140" s="286"/>
      <c r="AD140" s="286"/>
      <c r="AE140" s="286"/>
      <c r="AF140" s="286"/>
      <c r="AG140" s="286"/>
      <c r="AH140" s="286"/>
      <c r="AI140" s="224">
        <f t="shared" si="17"/>
        <v>0</v>
      </c>
      <c r="AJ140" s="224">
        <f t="shared" si="18"/>
        <v>0</v>
      </c>
      <c r="AK140" s="224">
        <f t="shared" si="19"/>
        <v>0</v>
      </c>
      <c r="AL140" s="224">
        <f t="shared" si="15"/>
        <v>0</v>
      </c>
      <c r="AM140" s="225">
        <f t="shared" si="16"/>
        <v>0</v>
      </c>
    </row>
    <row r="141" spans="1:39" s="238" customFormat="1" ht="20.100000000000001" hidden="1" customHeight="1" x14ac:dyDescent="0.2">
      <c r="A141" s="234" t="s">
        <v>291</v>
      </c>
      <c r="B141" s="235"/>
      <c r="C141" s="235"/>
      <c r="D141" s="235"/>
      <c r="E141" s="235"/>
      <c r="F141" s="279"/>
      <c r="G141" s="279"/>
      <c r="H141" s="279"/>
      <c r="I141" s="279"/>
      <c r="J141" s="280"/>
      <c r="K141" s="280"/>
      <c r="L141" s="280"/>
      <c r="M141" s="280"/>
      <c r="N141" s="283"/>
      <c r="O141" s="283"/>
      <c r="P141" s="283"/>
      <c r="Q141" s="283"/>
      <c r="R141" s="283"/>
      <c r="S141" s="283"/>
      <c r="T141" s="283"/>
      <c r="U141" s="283"/>
      <c r="V141" s="283"/>
      <c r="W141" s="283"/>
      <c r="X141" s="283"/>
      <c r="Y141" s="283"/>
      <c r="Z141" s="283"/>
      <c r="AA141" s="283"/>
      <c r="AB141" s="283"/>
      <c r="AC141" s="283"/>
      <c r="AD141" s="283"/>
      <c r="AE141" s="283"/>
      <c r="AF141" s="283"/>
      <c r="AG141" s="283"/>
      <c r="AH141" s="283"/>
      <c r="AI141" s="224">
        <f t="shared" si="17"/>
        <v>0</v>
      </c>
      <c r="AJ141" s="224">
        <f t="shared" si="18"/>
        <v>0</v>
      </c>
      <c r="AK141" s="224">
        <f t="shared" si="19"/>
        <v>0</v>
      </c>
      <c r="AL141" s="224">
        <f t="shared" si="15"/>
        <v>0</v>
      </c>
      <c r="AM141" s="225">
        <f t="shared" si="16"/>
        <v>0</v>
      </c>
    </row>
    <row r="142" spans="1:39" s="238" customFormat="1" ht="20.100000000000001" hidden="1" customHeight="1" x14ac:dyDescent="0.2">
      <c r="A142" s="234" t="s">
        <v>292</v>
      </c>
      <c r="B142" s="235"/>
      <c r="C142" s="235"/>
      <c r="D142" s="235"/>
      <c r="E142" s="235"/>
      <c r="F142" s="279"/>
      <c r="G142" s="292"/>
      <c r="H142" s="292"/>
      <c r="I142" s="292"/>
      <c r="J142" s="288"/>
      <c r="K142" s="288"/>
      <c r="L142" s="288"/>
      <c r="M142" s="288"/>
      <c r="N142" s="283"/>
      <c r="O142" s="283"/>
      <c r="P142" s="283"/>
      <c r="Q142" s="283"/>
      <c r="R142" s="283"/>
      <c r="S142" s="283"/>
      <c r="T142" s="283"/>
      <c r="U142" s="283"/>
      <c r="V142" s="283"/>
      <c r="W142" s="283"/>
      <c r="X142" s="283"/>
      <c r="Y142" s="283"/>
      <c r="Z142" s="283"/>
      <c r="AA142" s="283"/>
      <c r="AB142" s="283"/>
      <c r="AC142" s="283"/>
      <c r="AD142" s="283"/>
      <c r="AE142" s="283"/>
      <c r="AF142" s="283"/>
      <c r="AG142" s="283"/>
      <c r="AH142" s="283"/>
      <c r="AI142" s="224">
        <f t="shared" si="17"/>
        <v>0</v>
      </c>
      <c r="AJ142" s="224">
        <f t="shared" si="18"/>
        <v>0</v>
      </c>
      <c r="AK142" s="224">
        <f t="shared" si="19"/>
        <v>0</v>
      </c>
      <c r="AL142" s="224">
        <f t="shared" si="15"/>
        <v>0</v>
      </c>
      <c r="AM142" s="225">
        <f t="shared" si="16"/>
        <v>0</v>
      </c>
    </row>
    <row r="143" spans="1:39" ht="20.100000000000001" hidden="1" customHeight="1" x14ac:dyDescent="0.2">
      <c r="A143" s="227" t="s">
        <v>293</v>
      </c>
      <c r="B143" s="228"/>
      <c r="C143" s="228"/>
      <c r="D143" s="228"/>
      <c r="E143" s="228"/>
      <c r="F143" s="279">
        <v>0</v>
      </c>
      <c r="G143" s="279"/>
      <c r="H143" s="279"/>
      <c r="I143" s="279"/>
      <c r="J143" s="280">
        <v>0</v>
      </c>
      <c r="K143" s="280"/>
      <c r="L143" s="280"/>
      <c r="M143" s="280"/>
      <c r="N143" s="296">
        <v>0</v>
      </c>
      <c r="O143" s="296"/>
      <c r="P143" s="296"/>
      <c r="Q143" s="296"/>
      <c r="R143" s="296"/>
      <c r="S143" s="296"/>
      <c r="T143" s="296"/>
      <c r="U143" s="296"/>
      <c r="V143" s="296"/>
      <c r="W143" s="296"/>
      <c r="X143" s="296"/>
      <c r="Y143" s="296"/>
      <c r="Z143" s="296"/>
      <c r="AA143" s="296"/>
      <c r="AB143" s="296"/>
      <c r="AC143" s="296"/>
      <c r="AD143" s="296"/>
      <c r="AE143" s="296"/>
      <c r="AF143" s="296"/>
      <c r="AG143" s="296"/>
      <c r="AH143" s="296"/>
      <c r="AI143" s="224">
        <f t="shared" si="17"/>
        <v>0</v>
      </c>
      <c r="AJ143" s="224">
        <f t="shared" si="18"/>
        <v>0</v>
      </c>
      <c r="AK143" s="224">
        <f t="shared" si="19"/>
        <v>0</v>
      </c>
      <c r="AL143" s="224">
        <f t="shared" si="15"/>
        <v>0</v>
      </c>
      <c r="AM143" s="225">
        <f t="shared" si="16"/>
        <v>0</v>
      </c>
    </row>
    <row r="144" spans="1:39" s="293" customFormat="1" ht="20.100000000000001" hidden="1" customHeight="1" x14ac:dyDescent="0.2">
      <c r="A144" s="232" t="s">
        <v>294</v>
      </c>
      <c r="B144" s="262"/>
      <c r="C144" s="262"/>
      <c r="D144" s="262"/>
      <c r="E144" s="262"/>
      <c r="F144" s="295">
        <v>0</v>
      </c>
      <c r="G144" s="295"/>
      <c r="H144" s="295"/>
      <c r="I144" s="295"/>
      <c r="J144" s="295">
        <v>0</v>
      </c>
      <c r="K144" s="295"/>
      <c r="L144" s="295"/>
      <c r="M144" s="295"/>
      <c r="N144" s="295">
        <v>0</v>
      </c>
      <c r="O144" s="295"/>
      <c r="P144" s="295"/>
      <c r="Q144" s="295"/>
      <c r="R144" s="295">
        <v>0</v>
      </c>
      <c r="S144" s="295"/>
      <c r="T144" s="295"/>
      <c r="U144" s="295"/>
      <c r="V144" s="295">
        <v>0</v>
      </c>
      <c r="W144" s="295"/>
      <c r="X144" s="295"/>
      <c r="Y144" s="295"/>
      <c r="Z144" s="295">
        <v>0</v>
      </c>
      <c r="AA144" s="295"/>
      <c r="AB144" s="295"/>
      <c r="AC144" s="295"/>
      <c r="AD144" s="295">
        <v>0</v>
      </c>
      <c r="AE144" s="295"/>
      <c r="AF144" s="295"/>
      <c r="AG144" s="295"/>
      <c r="AH144" s="295">
        <v>0</v>
      </c>
      <c r="AI144" s="224">
        <f t="shared" si="17"/>
        <v>0</v>
      </c>
      <c r="AJ144" s="224">
        <f t="shared" si="18"/>
        <v>0</v>
      </c>
      <c r="AK144" s="224">
        <f t="shared" si="19"/>
        <v>0</v>
      </c>
      <c r="AL144" s="224">
        <f t="shared" si="15"/>
        <v>0</v>
      </c>
      <c r="AM144" s="225">
        <f t="shared" si="16"/>
        <v>0</v>
      </c>
    </row>
    <row r="145" spans="1:46" s="264" customFormat="1" ht="30" hidden="1" customHeight="1" x14ac:dyDescent="0.2">
      <c r="A145" s="234" t="s">
        <v>295</v>
      </c>
      <c r="B145" s="254"/>
      <c r="C145" s="254"/>
      <c r="D145" s="254"/>
      <c r="E145" s="254"/>
      <c r="F145" s="286"/>
      <c r="G145" s="286"/>
      <c r="H145" s="286"/>
      <c r="I145" s="286"/>
      <c r="J145" s="287"/>
      <c r="K145" s="287"/>
      <c r="L145" s="287"/>
      <c r="M145" s="287"/>
      <c r="N145" s="288"/>
      <c r="O145" s="288"/>
      <c r="P145" s="288"/>
      <c r="Q145" s="288"/>
      <c r="R145" s="288"/>
      <c r="S145" s="288"/>
      <c r="T145" s="288"/>
      <c r="U145" s="288"/>
      <c r="V145" s="288"/>
      <c r="W145" s="288"/>
      <c r="X145" s="288"/>
      <c r="Y145" s="288"/>
      <c r="Z145" s="288"/>
      <c r="AA145" s="288"/>
      <c r="AB145" s="288"/>
      <c r="AC145" s="288"/>
      <c r="AD145" s="288"/>
      <c r="AE145" s="288"/>
      <c r="AF145" s="288"/>
      <c r="AG145" s="288"/>
      <c r="AH145" s="288"/>
      <c r="AI145" s="224">
        <f t="shared" si="17"/>
        <v>0</v>
      </c>
      <c r="AJ145" s="224">
        <f t="shared" si="18"/>
        <v>0</v>
      </c>
      <c r="AK145" s="224">
        <f t="shared" si="19"/>
        <v>0</v>
      </c>
      <c r="AL145" s="224">
        <f t="shared" si="15"/>
        <v>0</v>
      </c>
      <c r="AM145" s="225">
        <f t="shared" si="16"/>
        <v>0</v>
      </c>
    </row>
    <row r="146" spans="1:46" s="238" customFormat="1" ht="33" hidden="1" customHeight="1" x14ac:dyDescent="0.2">
      <c r="A146" s="234" t="s">
        <v>296</v>
      </c>
      <c r="B146" s="235"/>
      <c r="C146" s="235"/>
      <c r="D146" s="235"/>
      <c r="E146" s="235"/>
      <c r="F146" s="283"/>
      <c r="G146" s="283"/>
      <c r="H146" s="283"/>
      <c r="I146" s="283"/>
      <c r="J146" s="280">
        <v>0</v>
      </c>
      <c r="K146" s="280"/>
      <c r="L146" s="280"/>
      <c r="M146" s="280"/>
      <c r="N146" s="280"/>
      <c r="O146" s="280"/>
      <c r="P146" s="280"/>
      <c r="Q146" s="280"/>
      <c r="R146" s="280"/>
      <c r="S146" s="280"/>
      <c r="T146" s="280"/>
      <c r="U146" s="280"/>
      <c r="V146" s="280"/>
      <c r="W146" s="280"/>
      <c r="X146" s="280"/>
      <c r="Y146" s="280"/>
      <c r="Z146" s="280"/>
      <c r="AA146" s="280"/>
      <c r="AB146" s="280"/>
      <c r="AC146" s="280"/>
      <c r="AD146" s="280"/>
      <c r="AE146" s="280"/>
      <c r="AF146" s="280"/>
      <c r="AG146" s="280"/>
      <c r="AH146" s="280"/>
      <c r="AI146" s="224">
        <f t="shared" si="17"/>
        <v>0</v>
      </c>
      <c r="AJ146" s="224">
        <f t="shared" si="18"/>
        <v>0</v>
      </c>
      <c r="AK146" s="224">
        <f t="shared" si="19"/>
        <v>0</v>
      </c>
      <c r="AL146" s="224">
        <f t="shared" si="15"/>
        <v>0</v>
      </c>
      <c r="AM146" s="225">
        <f t="shared" si="16"/>
        <v>0</v>
      </c>
    </row>
    <row r="147" spans="1:46" s="264" customFormat="1" ht="20.100000000000001" hidden="1" customHeight="1" x14ac:dyDescent="0.2">
      <c r="A147" s="234" t="s">
        <v>297</v>
      </c>
      <c r="B147" s="254"/>
      <c r="C147" s="254"/>
      <c r="D147" s="254"/>
      <c r="E147" s="254"/>
      <c r="F147" s="286"/>
      <c r="G147" s="286"/>
      <c r="H147" s="286"/>
      <c r="I147" s="286"/>
      <c r="J147" s="280"/>
      <c r="K147" s="288"/>
      <c r="L147" s="288"/>
      <c r="M147" s="288"/>
      <c r="N147" s="288"/>
      <c r="O147" s="288"/>
      <c r="P147" s="288"/>
      <c r="Q147" s="288"/>
      <c r="R147" s="288"/>
      <c r="S147" s="288"/>
      <c r="T147" s="288"/>
      <c r="U147" s="288"/>
      <c r="V147" s="288"/>
      <c r="W147" s="288"/>
      <c r="X147" s="288"/>
      <c r="Y147" s="288"/>
      <c r="Z147" s="288"/>
      <c r="AA147" s="288"/>
      <c r="AB147" s="288"/>
      <c r="AC147" s="288"/>
      <c r="AD147" s="288"/>
      <c r="AE147" s="288"/>
      <c r="AF147" s="288"/>
      <c r="AG147" s="288"/>
      <c r="AH147" s="288"/>
      <c r="AI147" s="224">
        <f t="shared" si="17"/>
        <v>0</v>
      </c>
      <c r="AJ147" s="224">
        <f t="shared" si="18"/>
        <v>0</v>
      </c>
      <c r="AK147" s="224">
        <f t="shared" si="19"/>
        <v>0</v>
      </c>
      <c r="AL147" s="224">
        <f t="shared" si="15"/>
        <v>0</v>
      </c>
      <c r="AM147" s="225">
        <f t="shared" si="16"/>
        <v>0</v>
      </c>
    </row>
    <row r="148" spans="1:46" s="238" customFormat="1" ht="20.100000000000001" hidden="1" customHeight="1" x14ac:dyDescent="0.2">
      <c r="A148" s="234" t="s">
        <v>298</v>
      </c>
      <c r="B148" s="235"/>
      <c r="C148" s="235"/>
      <c r="D148" s="235"/>
      <c r="E148" s="235"/>
      <c r="F148" s="283"/>
      <c r="G148" s="283"/>
      <c r="H148" s="283"/>
      <c r="I148" s="283"/>
      <c r="J148" s="280"/>
      <c r="K148" s="280"/>
      <c r="L148" s="280"/>
      <c r="M148" s="280"/>
      <c r="N148" s="280"/>
      <c r="O148" s="280"/>
      <c r="P148" s="280"/>
      <c r="Q148" s="280"/>
      <c r="R148" s="280"/>
      <c r="S148" s="280"/>
      <c r="T148" s="280"/>
      <c r="U148" s="280"/>
      <c r="V148" s="280"/>
      <c r="W148" s="280"/>
      <c r="X148" s="280"/>
      <c r="Y148" s="280"/>
      <c r="Z148" s="280"/>
      <c r="AA148" s="280"/>
      <c r="AB148" s="280"/>
      <c r="AC148" s="280"/>
      <c r="AD148" s="280"/>
      <c r="AE148" s="280"/>
      <c r="AF148" s="280"/>
      <c r="AG148" s="280"/>
      <c r="AH148" s="280"/>
      <c r="AI148" s="224">
        <f t="shared" si="17"/>
        <v>0</v>
      </c>
      <c r="AJ148" s="224">
        <f t="shared" si="18"/>
        <v>0</v>
      </c>
      <c r="AK148" s="224">
        <f t="shared" si="19"/>
        <v>0</v>
      </c>
      <c r="AL148" s="224">
        <f t="shared" si="15"/>
        <v>0</v>
      </c>
      <c r="AM148" s="225">
        <f t="shared" si="16"/>
        <v>0</v>
      </c>
    </row>
    <row r="149" spans="1:46" s="282" customFormat="1" ht="30" customHeight="1" x14ac:dyDescent="0.2">
      <c r="A149" s="1065" t="s">
        <v>1104</v>
      </c>
      <c r="B149" s="308"/>
      <c r="C149" s="308">
        <f>+C156</f>
        <v>35000</v>
      </c>
      <c r="D149" s="308">
        <f>+D156</f>
        <v>35000</v>
      </c>
      <c r="E149" s="308">
        <v>96635.91</v>
      </c>
      <c r="F149" s="1063">
        <v>35000</v>
      </c>
      <c r="G149" s="1063"/>
      <c r="H149" s="1063"/>
      <c r="I149" s="1063"/>
      <c r="J149" s="1063">
        <v>0</v>
      </c>
      <c r="K149" s="1063"/>
      <c r="L149" s="1063"/>
      <c r="M149" s="1063"/>
      <c r="N149" s="1063">
        <v>0</v>
      </c>
      <c r="O149" s="1063"/>
      <c r="P149" s="1063"/>
      <c r="Q149" s="1063"/>
      <c r="R149" s="1063">
        <v>0</v>
      </c>
      <c r="S149" s="1063"/>
      <c r="T149" s="1063"/>
      <c r="U149" s="1063"/>
      <c r="V149" s="1063">
        <v>0</v>
      </c>
      <c r="W149" s="1063"/>
      <c r="X149" s="1063"/>
      <c r="Y149" s="1063"/>
      <c r="Z149" s="1063">
        <v>0</v>
      </c>
      <c r="AA149" s="1063"/>
      <c r="AB149" s="1063"/>
      <c r="AC149" s="1063"/>
      <c r="AD149" s="1063">
        <v>0</v>
      </c>
      <c r="AE149" s="1063"/>
      <c r="AF149" s="1063"/>
      <c r="AG149" s="1063"/>
      <c r="AH149" s="1063">
        <v>0</v>
      </c>
      <c r="AI149" s="224">
        <f t="shared" si="17"/>
        <v>35000</v>
      </c>
      <c r="AJ149" s="224">
        <f t="shared" si="18"/>
        <v>35000</v>
      </c>
      <c r="AK149" s="224">
        <f t="shared" si="19"/>
        <v>96635.91</v>
      </c>
      <c r="AL149" s="224">
        <f t="shared" si="15"/>
        <v>35000</v>
      </c>
      <c r="AM149" s="225">
        <f t="shared" si="16"/>
        <v>0</v>
      </c>
      <c r="AR149" s="297"/>
      <c r="AS149" s="297"/>
      <c r="AT149" s="298"/>
    </row>
    <row r="150" spans="1:46" s="238" customFormat="1" ht="20.100000000000001" hidden="1" customHeight="1" x14ac:dyDescent="0.2">
      <c r="A150" s="234" t="s">
        <v>299</v>
      </c>
      <c r="B150" s="235"/>
      <c r="C150" s="235"/>
      <c r="D150" s="235"/>
      <c r="E150" s="235"/>
      <c r="F150" s="279"/>
      <c r="G150" s="279"/>
      <c r="H150" s="279"/>
      <c r="I150" s="279"/>
      <c r="J150" s="280"/>
      <c r="K150" s="280"/>
      <c r="L150" s="280"/>
      <c r="M150" s="280"/>
      <c r="N150" s="280"/>
      <c r="O150" s="280"/>
      <c r="P150" s="280"/>
      <c r="Q150" s="280"/>
      <c r="R150" s="280"/>
      <c r="S150" s="280"/>
      <c r="T150" s="280"/>
      <c r="U150" s="280"/>
      <c r="V150" s="280"/>
      <c r="W150" s="280"/>
      <c r="X150" s="280"/>
      <c r="Y150" s="280"/>
      <c r="Z150" s="280"/>
      <c r="AA150" s="280"/>
      <c r="AB150" s="280"/>
      <c r="AC150" s="280"/>
      <c r="AD150" s="280"/>
      <c r="AE150" s="280"/>
      <c r="AF150" s="280"/>
      <c r="AG150" s="280"/>
      <c r="AH150" s="280"/>
      <c r="AI150" s="224">
        <f t="shared" si="17"/>
        <v>0</v>
      </c>
      <c r="AJ150" s="224">
        <f t="shared" si="18"/>
        <v>0</v>
      </c>
      <c r="AK150" s="224">
        <f t="shared" si="19"/>
        <v>0</v>
      </c>
      <c r="AL150" s="224">
        <f t="shared" si="15"/>
        <v>0</v>
      </c>
      <c r="AM150" s="225">
        <f t="shared" si="16"/>
        <v>0</v>
      </c>
    </row>
    <row r="151" spans="1:46" s="238" customFormat="1" ht="29.25" hidden="1" customHeight="1" x14ac:dyDescent="0.2">
      <c r="A151" s="234" t="s">
        <v>300</v>
      </c>
      <c r="B151" s="235"/>
      <c r="C151" s="235"/>
      <c r="D151" s="235"/>
      <c r="E151" s="235"/>
      <c r="F151" s="279"/>
      <c r="G151" s="279"/>
      <c r="H151" s="279"/>
      <c r="I151" s="279"/>
      <c r="J151" s="284"/>
      <c r="K151" s="284"/>
      <c r="L151" s="284"/>
      <c r="M151" s="284"/>
      <c r="N151" s="280"/>
      <c r="O151" s="280"/>
      <c r="P151" s="280"/>
      <c r="Q151" s="280"/>
      <c r="R151" s="280"/>
      <c r="S151" s="280"/>
      <c r="T151" s="280"/>
      <c r="U151" s="280"/>
      <c r="V151" s="280"/>
      <c r="W151" s="280"/>
      <c r="X151" s="280"/>
      <c r="Y151" s="280"/>
      <c r="Z151" s="280"/>
      <c r="AA151" s="280"/>
      <c r="AB151" s="280"/>
      <c r="AC151" s="280"/>
      <c r="AD151" s="280"/>
      <c r="AE151" s="280"/>
      <c r="AF151" s="280"/>
      <c r="AG151" s="280"/>
      <c r="AH151" s="280"/>
      <c r="AI151" s="224">
        <f t="shared" si="17"/>
        <v>0</v>
      </c>
      <c r="AJ151" s="224">
        <f t="shared" si="18"/>
        <v>0</v>
      </c>
      <c r="AK151" s="224">
        <f t="shared" si="19"/>
        <v>0</v>
      </c>
      <c r="AL151" s="224">
        <f t="shared" si="15"/>
        <v>0</v>
      </c>
      <c r="AM151" s="225">
        <f t="shared" si="16"/>
        <v>0</v>
      </c>
    </row>
    <row r="152" spans="1:46" s="238" customFormat="1" ht="20.100000000000001" hidden="1" customHeight="1" x14ac:dyDescent="0.2">
      <c r="A152" s="234" t="s">
        <v>301</v>
      </c>
      <c r="B152" s="235"/>
      <c r="C152" s="235"/>
      <c r="D152" s="235"/>
      <c r="E152" s="235"/>
      <c r="F152" s="279"/>
      <c r="G152" s="279"/>
      <c r="H152" s="279"/>
      <c r="I152" s="279"/>
      <c r="J152" s="284"/>
      <c r="K152" s="284"/>
      <c r="L152" s="284"/>
      <c r="M152" s="284"/>
      <c r="N152" s="280"/>
      <c r="O152" s="280"/>
      <c r="P152" s="280"/>
      <c r="Q152" s="280"/>
      <c r="R152" s="280"/>
      <c r="S152" s="280"/>
      <c r="T152" s="280"/>
      <c r="U152" s="280"/>
      <c r="V152" s="280"/>
      <c r="W152" s="280"/>
      <c r="X152" s="280"/>
      <c r="Y152" s="280"/>
      <c r="Z152" s="280"/>
      <c r="AA152" s="280"/>
      <c r="AB152" s="280"/>
      <c r="AC152" s="280"/>
      <c r="AD152" s="280"/>
      <c r="AE152" s="280"/>
      <c r="AF152" s="280"/>
      <c r="AG152" s="280"/>
      <c r="AH152" s="280"/>
      <c r="AI152" s="224">
        <f t="shared" si="17"/>
        <v>0</v>
      </c>
      <c r="AJ152" s="224">
        <f t="shared" si="18"/>
        <v>0</v>
      </c>
      <c r="AK152" s="224">
        <f t="shared" si="19"/>
        <v>0</v>
      </c>
      <c r="AL152" s="224">
        <f t="shared" si="15"/>
        <v>0</v>
      </c>
      <c r="AM152" s="225">
        <f t="shared" si="16"/>
        <v>0</v>
      </c>
    </row>
    <row r="153" spans="1:46" s="238" customFormat="1" ht="20.100000000000001" hidden="1" customHeight="1" x14ac:dyDescent="0.2">
      <c r="A153" s="234" t="s">
        <v>302</v>
      </c>
      <c r="B153" s="235"/>
      <c r="C153" s="235"/>
      <c r="D153" s="235"/>
      <c r="E153" s="235"/>
      <c r="F153" s="279"/>
      <c r="G153" s="279"/>
      <c r="H153" s="279"/>
      <c r="I153" s="279"/>
      <c r="J153" s="284"/>
      <c r="K153" s="284"/>
      <c r="L153" s="284"/>
      <c r="M153" s="284"/>
      <c r="N153" s="280"/>
      <c r="O153" s="280"/>
      <c r="P153" s="280"/>
      <c r="Q153" s="280"/>
      <c r="R153" s="280"/>
      <c r="S153" s="280"/>
      <c r="T153" s="280"/>
      <c r="U153" s="280"/>
      <c r="V153" s="280"/>
      <c r="W153" s="280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24">
        <f t="shared" si="17"/>
        <v>0</v>
      </c>
      <c r="AJ153" s="224">
        <f t="shared" si="18"/>
        <v>0</v>
      </c>
      <c r="AK153" s="224">
        <f t="shared" si="19"/>
        <v>0</v>
      </c>
      <c r="AL153" s="224">
        <f t="shared" si="15"/>
        <v>0</v>
      </c>
      <c r="AM153" s="225">
        <f t="shared" si="16"/>
        <v>0</v>
      </c>
    </row>
    <row r="154" spans="1:46" s="238" customFormat="1" ht="20.100000000000001" hidden="1" customHeight="1" x14ac:dyDescent="0.2">
      <c r="A154" s="234" t="s">
        <v>303</v>
      </c>
      <c r="B154" s="235"/>
      <c r="C154" s="235"/>
      <c r="D154" s="235"/>
      <c r="E154" s="235"/>
      <c r="F154" s="283"/>
      <c r="G154" s="283"/>
      <c r="H154" s="283"/>
      <c r="I154" s="283"/>
      <c r="J154" s="284"/>
      <c r="K154" s="284"/>
      <c r="L154" s="284"/>
      <c r="M154" s="284"/>
      <c r="N154" s="280"/>
      <c r="O154" s="280"/>
      <c r="P154" s="280"/>
      <c r="Q154" s="280"/>
      <c r="R154" s="280"/>
      <c r="S154" s="280"/>
      <c r="T154" s="280"/>
      <c r="U154" s="280"/>
      <c r="V154" s="280"/>
      <c r="W154" s="280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24">
        <f t="shared" si="17"/>
        <v>0</v>
      </c>
      <c r="AJ154" s="224">
        <f t="shared" si="18"/>
        <v>0</v>
      </c>
      <c r="AK154" s="224">
        <f t="shared" si="19"/>
        <v>0</v>
      </c>
      <c r="AL154" s="224">
        <f t="shared" si="15"/>
        <v>0</v>
      </c>
      <c r="AM154" s="225">
        <f t="shared" si="16"/>
        <v>0</v>
      </c>
    </row>
    <row r="155" spans="1:46" s="238" customFormat="1" ht="20.100000000000001" hidden="1" customHeight="1" x14ac:dyDescent="0.2">
      <c r="A155" s="234" t="s">
        <v>304</v>
      </c>
      <c r="B155" s="235"/>
      <c r="C155" s="235"/>
      <c r="D155" s="235"/>
      <c r="E155" s="235"/>
      <c r="F155" s="279"/>
      <c r="G155" s="279"/>
      <c r="H155" s="279"/>
      <c r="I155" s="279"/>
      <c r="J155" s="280"/>
      <c r="K155" s="280"/>
      <c r="L155" s="280"/>
      <c r="M155" s="280"/>
      <c r="N155" s="280"/>
      <c r="O155" s="280"/>
      <c r="P155" s="280"/>
      <c r="Q155" s="280"/>
      <c r="R155" s="280"/>
      <c r="S155" s="280"/>
      <c r="T155" s="280"/>
      <c r="U155" s="280"/>
      <c r="V155" s="280"/>
      <c r="W155" s="280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24">
        <f t="shared" si="17"/>
        <v>0</v>
      </c>
      <c r="AJ155" s="224">
        <f t="shared" si="18"/>
        <v>0</v>
      </c>
      <c r="AK155" s="224">
        <f t="shared" si="19"/>
        <v>0</v>
      </c>
      <c r="AL155" s="224">
        <f t="shared" si="15"/>
        <v>0</v>
      </c>
      <c r="AM155" s="225">
        <f t="shared" si="16"/>
        <v>0</v>
      </c>
    </row>
    <row r="156" spans="1:46" s="238" customFormat="1" ht="27" customHeight="1" x14ac:dyDescent="0.2">
      <c r="A156" s="234" t="s">
        <v>305</v>
      </c>
      <c r="B156" s="235"/>
      <c r="C156" s="236">
        <v>35000</v>
      </c>
      <c r="D156" s="236">
        <v>35000</v>
      </c>
      <c r="E156" s="235">
        <v>96635.91</v>
      </c>
      <c r="F156" s="279">
        <v>35000</v>
      </c>
      <c r="G156" s="279"/>
      <c r="H156" s="279"/>
      <c r="I156" s="279"/>
      <c r="J156" s="280"/>
      <c r="K156" s="280"/>
      <c r="L156" s="280"/>
      <c r="M156" s="280"/>
      <c r="N156" s="280"/>
      <c r="O156" s="280"/>
      <c r="P156" s="280"/>
      <c r="Q156" s="280"/>
      <c r="R156" s="280"/>
      <c r="S156" s="280"/>
      <c r="T156" s="280"/>
      <c r="U156" s="280"/>
      <c r="V156" s="280"/>
      <c r="W156" s="280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24">
        <f t="shared" si="17"/>
        <v>35000</v>
      </c>
      <c r="AJ156" s="224">
        <f t="shared" si="18"/>
        <v>35000</v>
      </c>
      <c r="AK156" s="224">
        <f t="shared" si="19"/>
        <v>96635.91</v>
      </c>
      <c r="AL156" s="224">
        <f t="shared" si="15"/>
        <v>35000</v>
      </c>
      <c r="AM156" s="225">
        <f t="shared" si="16"/>
        <v>0</v>
      </c>
    </row>
    <row r="157" spans="1:46" s="264" customFormat="1" ht="20.100000000000001" hidden="1" customHeight="1" x14ac:dyDescent="0.2">
      <c r="A157" s="234" t="s">
        <v>306</v>
      </c>
      <c r="B157" s="254"/>
      <c r="C157" s="254"/>
      <c r="D157" s="254"/>
      <c r="E157" s="254"/>
      <c r="F157" s="279"/>
      <c r="G157" s="292"/>
      <c r="H157" s="292"/>
      <c r="I157" s="292"/>
      <c r="J157" s="288"/>
      <c r="K157" s="288"/>
      <c r="L157" s="288"/>
      <c r="M157" s="288"/>
      <c r="N157" s="288"/>
      <c r="O157" s="288"/>
      <c r="P157" s="288"/>
      <c r="Q157" s="288"/>
      <c r="R157" s="288"/>
      <c r="S157" s="288"/>
      <c r="T157" s="288"/>
      <c r="U157" s="288"/>
      <c r="V157" s="288"/>
      <c r="W157" s="288"/>
      <c r="X157" s="288"/>
      <c r="Y157" s="288"/>
      <c r="Z157" s="288"/>
      <c r="AA157" s="288"/>
      <c r="AB157" s="288"/>
      <c r="AC157" s="288"/>
      <c r="AD157" s="288"/>
      <c r="AE157" s="288"/>
      <c r="AF157" s="288"/>
      <c r="AG157" s="288"/>
      <c r="AH157" s="288"/>
      <c r="AI157" s="224">
        <f t="shared" si="17"/>
        <v>0</v>
      </c>
      <c r="AJ157" s="224">
        <f t="shared" si="18"/>
        <v>0</v>
      </c>
      <c r="AK157" s="224">
        <f t="shared" si="19"/>
        <v>0</v>
      </c>
      <c r="AL157" s="224">
        <f t="shared" si="15"/>
        <v>0</v>
      </c>
      <c r="AM157" s="225">
        <f t="shared" si="16"/>
        <v>0</v>
      </c>
    </row>
    <row r="158" spans="1:46" s="238" customFormat="1" ht="20.100000000000001" hidden="1" customHeight="1" x14ac:dyDescent="0.2">
      <c r="A158" s="234" t="s">
        <v>307</v>
      </c>
      <c r="B158" s="235"/>
      <c r="C158" s="235"/>
      <c r="D158" s="235"/>
      <c r="E158" s="235"/>
      <c r="F158" s="279"/>
      <c r="G158" s="279"/>
      <c r="H158" s="279"/>
      <c r="I158" s="279"/>
      <c r="J158" s="280"/>
      <c r="K158" s="280"/>
      <c r="L158" s="280"/>
      <c r="M158" s="280"/>
      <c r="N158" s="280"/>
      <c r="O158" s="280"/>
      <c r="P158" s="280"/>
      <c r="Q158" s="280"/>
      <c r="R158" s="280"/>
      <c r="S158" s="280"/>
      <c r="T158" s="280"/>
      <c r="U158" s="280"/>
      <c r="V158" s="280"/>
      <c r="W158" s="280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24">
        <f t="shared" si="17"/>
        <v>0</v>
      </c>
      <c r="AJ158" s="224">
        <f t="shared" si="18"/>
        <v>0</v>
      </c>
      <c r="AK158" s="224">
        <f t="shared" si="19"/>
        <v>0</v>
      </c>
      <c r="AL158" s="224">
        <f t="shared" si="15"/>
        <v>0</v>
      </c>
      <c r="AM158" s="225">
        <f t="shared" si="16"/>
        <v>0</v>
      </c>
    </row>
    <row r="159" spans="1:46" s="238" customFormat="1" ht="20.100000000000001" hidden="1" customHeight="1" x14ac:dyDescent="0.2">
      <c r="A159" s="234" t="s">
        <v>308</v>
      </c>
      <c r="B159" s="235"/>
      <c r="C159" s="235"/>
      <c r="D159" s="235"/>
      <c r="E159" s="235"/>
      <c r="F159" s="279"/>
      <c r="G159" s="279"/>
      <c r="H159" s="279"/>
      <c r="I159" s="279"/>
      <c r="J159" s="280"/>
      <c r="K159" s="280"/>
      <c r="L159" s="280"/>
      <c r="M159" s="280"/>
      <c r="N159" s="280"/>
      <c r="O159" s="280"/>
      <c r="P159" s="280"/>
      <c r="Q159" s="280"/>
      <c r="R159" s="280"/>
      <c r="S159" s="280"/>
      <c r="T159" s="280"/>
      <c r="U159" s="280"/>
      <c r="V159" s="280"/>
      <c r="W159" s="280"/>
      <c r="X159" s="280"/>
      <c r="Y159" s="280"/>
      <c r="Z159" s="280"/>
      <c r="AA159" s="280"/>
      <c r="AB159" s="280"/>
      <c r="AC159" s="280"/>
      <c r="AD159" s="280"/>
      <c r="AE159" s="280"/>
      <c r="AF159" s="280"/>
      <c r="AG159" s="280"/>
      <c r="AH159" s="280"/>
      <c r="AI159" s="224">
        <f t="shared" si="17"/>
        <v>0</v>
      </c>
      <c r="AJ159" s="224">
        <f t="shared" si="18"/>
        <v>0</v>
      </c>
      <c r="AK159" s="224">
        <f t="shared" si="19"/>
        <v>0</v>
      </c>
      <c r="AL159" s="224">
        <f t="shared" si="15"/>
        <v>0</v>
      </c>
      <c r="AM159" s="225">
        <f t="shared" si="16"/>
        <v>0</v>
      </c>
    </row>
    <row r="160" spans="1:46" s="238" customFormat="1" ht="20.100000000000001" hidden="1" customHeight="1" x14ac:dyDescent="0.2">
      <c r="A160" s="234" t="s">
        <v>309</v>
      </c>
      <c r="B160" s="235"/>
      <c r="C160" s="235"/>
      <c r="D160" s="235"/>
      <c r="E160" s="235"/>
      <c r="F160" s="279"/>
      <c r="G160" s="279"/>
      <c r="H160" s="279"/>
      <c r="I160" s="279"/>
      <c r="J160" s="280"/>
      <c r="K160" s="280"/>
      <c r="L160" s="280"/>
      <c r="M160" s="280"/>
      <c r="N160" s="280"/>
      <c r="O160" s="280"/>
      <c r="P160" s="280"/>
      <c r="Q160" s="280"/>
      <c r="R160" s="280"/>
      <c r="S160" s="280"/>
      <c r="T160" s="280"/>
      <c r="U160" s="280"/>
      <c r="V160" s="280"/>
      <c r="W160" s="280"/>
      <c r="X160" s="280"/>
      <c r="Y160" s="280"/>
      <c r="Z160" s="280"/>
      <c r="AA160" s="280"/>
      <c r="AB160" s="280"/>
      <c r="AC160" s="280"/>
      <c r="AD160" s="280"/>
      <c r="AE160" s="280"/>
      <c r="AF160" s="280"/>
      <c r="AG160" s="280"/>
      <c r="AH160" s="280"/>
      <c r="AI160" s="224">
        <f t="shared" si="17"/>
        <v>0</v>
      </c>
      <c r="AJ160" s="224">
        <f t="shared" si="18"/>
        <v>0</v>
      </c>
      <c r="AK160" s="224">
        <f t="shared" si="19"/>
        <v>0</v>
      </c>
      <c r="AL160" s="224">
        <f t="shared" si="15"/>
        <v>0</v>
      </c>
      <c r="AM160" s="225">
        <f t="shared" si="16"/>
        <v>0</v>
      </c>
    </row>
    <row r="161" spans="1:39" s="238" customFormat="1" ht="20.100000000000001" hidden="1" customHeight="1" x14ac:dyDescent="0.2">
      <c r="A161" s="234" t="s">
        <v>310</v>
      </c>
      <c r="B161" s="235"/>
      <c r="C161" s="235"/>
      <c r="D161" s="235"/>
      <c r="E161" s="235"/>
      <c r="F161" s="279"/>
      <c r="G161" s="279"/>
      <c r="H161" s="279"/>
      <c r="I161" s="279"/>
      <c r="J161" s="280"/>
      <c r="K161" s="280"/>
      <c r="L161" s="280"/>
      <c r="M161" s="280"/>
      <c r="N161" s="280"/>
      <c r="O161" s="280"/>
      <c r="P161" s="280"/>
      <c r="Q161" s="280"/>
      <c r="R161" s="280"/>
      <c r="S161" s="280"/>
      <c r="T161" s="280"/>
      <c r="U161" s="280"/>
      <c r="V161" s="280"/>
      <c r="W161" s="280"/>
      <c r="X161" s="280"/>
      <c r="Y161" s="280"/>
      <c r="Z161" s="280"/>
      <c r="AA161" s="280"/>
      <c r="AB161" s="280"/>
      <c r="AC161" s="280"/>
      <c r="AD161" s="280"/>
      <c r="AE161" s="280"/>
      <c r="AF161" s="280"/>
      <c r="AG161" s="280"/>
      <c r="AH161" s="280"/>
      <c r="AI161" s="224">
        <f t="shared" si="17"/>
        <v>0</v>
      </c>
      <c r="AJ161" s="224">
        <f t="shared" si="18"/>
        <v>0</v>
      </c>
      <c r="AK161" s="224">
        <f t="shared" si="19"/>
        <v>0</v>
      </c>
      <c r="AL161" s="224">
        <f t="shared" si="15"/>
        <v>0</v>
      </c>
      <c r="AM161" s="225">
        <f t="shared" si="16"/>
        <v>0</v>
      </c>
    </row>
    <row r="162" spans="1:39" s="238" customFormat="1" ht="28.5" hidden="1" customHeight="1" x14ac:dyDescent="0.2">
      <c r="A162" s="234" t="s">
        <v>311</v>
      </c>
      <c r="B162" s="235"/>
      <c r="C162" s="235"/>
      <c r="D162" s="235"/>
      <c r="E162" s="235"/>
      <c r="F162" s="283"/>
      <c r="G162" s="283"/>
      <c r="H162" s="283"/>
      <c r="I162" s="283"/>
      <c r="J162" s="280"/>
      <c r="K162" s="280"/>
      <c r="L162" s="280"/>
      <c r="M162" s="280"/>
      <c r="N162" s="280"/>
      <c r="O162" s="280"/>
      <c r="P162" s="280"/>
      <c r="Q162" s="280"/>
      <c r="R162" s="280"/>
      <c r="S162" s="280"/>
      <c r="T162" s="280"/>
      <c r="U162" s="280"/>
      <c r="V162" s="280"/>
      <c r="W162" s="280"/>
      <c r="X162" s="280"/>
      <c r="Y162" s="280"/>
      <c r="Z162" s="280"/>
      <c r="AA162" s="280"/>
      <c r="AB162" s="280"/>
      <c r="AC162" s="280"/>
      <c r="AD162" s="280"/>
      <c r="AE162" s="280"/>
      <c r="AF162" s="280"/>
      <c r="AG162" s="280"/>
      <c r="AH162" s="280"/>
      <c r="AI162" s="224">
        <f t="shared" si="17"/>
        <v>0</v>
      </c>
      <c r="AJ162" s="224">
        <f t="shared" si="18"/>
        <v>0</v>
      </c>
      <c r="AK162" s="224">
        <f t="shared" si="19"/>
        <v>0</v>
      </c>
      <c r="AL162" s="224">
        <f t="shared" si="15"/>
        <v>0</v>
      </c>
      <c r="AM162" s="225">
        <f t="shared" si="16"/>
        <v>0</v>
      </c>
    </row>
    <row r="163" spans="1:39" s="238" customFormat="1" ht="20.100000000000001" hidden="1" customHeight="1" x14ac:dyDescent="0.2">
      <c r="A163" s="234" t="s">
        <v>312</v>
      </c>
      <c r="B163" s="235"/>
      <c r="C163" s="235"/>
      <c r="D163" s="235"/>
      <c r="E163" s="235"/>
      <c r="F163" s="283"/>
      <c r="G163" s="283"/>
      <c r="H163" s="283"/>
      <c r="I163" s="283"/>
      <c r="J163" s="280"/>
      <c r="K163" s="280"/>
      <c r="L163" s="280"/>
      <c r="M163" s="280"/>
      <c r="N163" s="280"/>
      <c r="O163" s="280"/>
      <c r="P163" s="280"/>
      <c r="Q163" s="280"/>
      <c r="R163" s="280"/>
      <c r="S163" s="280"/>
      <c r="T163" s="280"/>
      <c r="U163" s="280"/>
      <c r="V163" s="280"/>
      <c r="W163" s="280"/>
      <c r="X163" s="280"/>
      <c r="Y163" s="280"/>
      <c r="Z163" s="280"/>
      <c r="AA163" s="280"/>
      <c r="AB163" s="280"/>
      <c r="AC163" s="280"/>
      <c r="AD163" s="280"/>
      <c r="AE163" s="280"/>
      <c r="AF163" s="280"/>
      <c r="AG163" s="280"/>
      <c r="AH163" s="280"/>
      <c r="AI163" s="224">
        <f t="shared" si="17"/>
        <v>0</v>
      </c>
      <c r="AJ163" s="224">
        <f t="shared" si="18"/>
        <v>0</v>
      </c>
      <c r="AK163" s="224">
        <f t="shared" si="19"/>
        <v>0</v>
      </c>
      <c r="AL163" s="224">
        <f t="shared" si="15"/>
        <v>0</v>
      </c>
      <c r="AM163" s="225">
        <f t="shared" si="16"/>
        <v>0</v>
      </c>
    </row>
    <row r="164" spans="1:39" s="238" customFormat="1" ht="54" hidden="1" customHeight="1" x14ac:dyDescent="0.2">
      <c r="A164" s="234" t="s">
        <v>313</v>
      </c>
      <c r="B164" s="235"/>
      <c r="C164" s="235"/>
      <c r="D164" s="235"/>
      <c r="E164" s="235"/>
      <c r="F164" s="279"/>
      <c r="G164" s="279"/>
      <c r="H164" s="279"/>
      <c r="I164" s="279"/>
      <c r="J164" s="280"/>
      <c r="K164" s="280"/>
      <c r="L164" s="280"/>
      <c r="M164" s="280"/>
      <c r="N164" s="280"/>
      <c r="O164" s="280"/>
      <c r="P164" s="280"/>
      <c r="Q164" s="280"/>
      <c r="R164" s="280"/>
      <c r="S164" s="280"/>
      <c r="T164" s="280"/>
      <c r="U164" s="280"/>
      <c r="V164" s="280"/>
      <c r="W164" s="280"/>
      <c r="X164" s="280"/>
      <c r="Y164" s="280"/>
      <c r="Z164" s="280"/>
      <c r="AA164" s="280"/>
      <c r="AB164" s="280"/>
      <c r="AC164" s="280"/>
      <c r="AD164" s="280"/>
      <c r="AE164" s="280"/>
      <c r="AF164" s="280"/>
      <c r="AG164" s="280"/>
      <c r="AH164" s="280"/>
      <c r="AI164" s="224">
        <f t="shared" si="17"/>
        <v>0</v>
      </c>
      <c r="AJ164" s="224">
        <f t="shared" si="18"/>
        <v>0</v>
      </c>
      <c r="AK164" s="224">
        <f t="shared" si="19"/>
        <v>0</v>
      </c>
      <c r="AL164" s="224">
        <f t="shared" si="15"/>
        <v>0</v>
      </c>
      <c r="AM164" s="225">
        <f t="shared" si="16"/>
        <v>0</v>
      </c>
    </row>
    <row r="165" spans="1:39" s="238" customFormat="1" ht="30.75" hidden="1" customHeight="1" x14ac:dyDescent="0.2">
      <c r="A165" s="234" t="s">
        <v>314</v>
      </c>
      <c r="B165" s="235"/>
      <c r="C165" s="235"/>
      <c r="D165" s="235"/>
      <c r="E165" s="235"/>
      <c r="F165" s="279"/>
      <c r="G165" s="279"/>
      <c r="H165" s="279"/>
      <c r="I165" s="279"/>
      <c r="J165" s="280"/>
      <c r="K165" s="280"/>
      <c r="L165" s="280"/>
      <c r="M165" s="280"/>
      <c r="N165" s="280"/>
      <c r="O165" s="280"/>
      <c r="P165" s="280"/>
      <c r="Q165" s="280"/>
      <c r="R165" s="280"/>
      <c r="S165" s="280"/>
      <c r="T165" s="280"/>
      <c r="U165" s="280"/>
      <c r="V165" s="280"/>
      <c r="W165" s="280"/>
      <c r="X165" s="280"/>
      <c r="Y165" s="280"/>
      <c r="Z165" s="280"/>
      <c r="AA165" s="280"/>
      <c r="AB165" s="280"/>
      <c r="AC165" s="280"/>
      <c r="AD165" s="280"/>
      <c r="AE165" s="280"/>
      <c r="AF165" s="280"/>
      <c r="AG165" s="280"/>
      <c r="AH165" s="280"/>
      <c r="AI165" s="224">
        <f t="shared" si="17"/>
        <v>0</v>
      </c>
      <c r="AJ165" s="224">
        <f t="shared" si="18"/>
        <v>0</v>
      </c>
      <c r="AK165" s="224">
        <f t="shared" si="19"/>
        <v>0</v>
      </c>
      <c r="AL165" s="224">
        <f t="shared" si="15"/>
        <v>0</v>
      </c>
      <c r="AM165" s="225">
        <f t="shared" si="16"/>
        <v>0</v>
      </c>
    </row>
    <row r="166" spans="1:39" s="253" customFormat="1" ht="30" customHeight="1" x14ac:dyDescent="0.2">
      <c r="A166" s="1061" t="s">
        <v>1105</v>
      </c>
      <c r="B166" s="310"/>
      <c r="C166" s="1063">
        <f>+C118+C149</f>
        <v>2239479</v>
      </c>
      <c r="D166" s="1063">
        <f>+D118+D149</f>
        <v>2239479</v>
      </c>
      <c r="E166" s="1063">
        <v>2196114.0020000003</v>
      </c>
      <c r="F166" s="1063">
        <v>2239479</v>
      </c>
      <c r="G166" s="1063"/>
      <c r="H166" s="1063"/>
      <c r="I166" s="1063"/>
      <c r="J166" s="1063">
        <v>0</v>
      </c>
      <c r="K166" s="1063"/>
      <c r="L166" s="1063"/>
      <c r="M166" s="1063"/>
      <c r="N166" s="1063">
        <v>0</v>
      </c>
      <c r="O166" s="1063"/>
      <c r="P166" s="1063"/>
      <c r="Q166" s="1063"/>
      <c r="R166" s="1063">
        <v>0</v>
      </c>
      <c r="S166" s="1063"/>
      <c r="T166" s="1063"/>
      <c r="U166" s="1063"/>
      <c r="V166" s="1063">
        <v>0</v>
      </c>
      <c r="W166" s="1063"/>
      <c r="X166" s="1063"/>
      <c r="Y166" s="1063"/>
      <c r="Z166" s="1063">
        <v>0</v>
      </c>
      <c r="AA166" s="1063"/>
      <c r="AB166" s="1063"/>
      <c r="AC166" s="1063"/>
      <c r="AD166" s="1063">
        <v>0</v>
      </c>
      <c r="AE166" s="1063"/>
      <c r="AF166" s="1063"/>
      <c r="AG166" s="1063"/>
      <c r="AH166" s="1063">
        <v>0</v>
      </c>
      <c r="AI166" s="224">
        <f t="shared" si="17"/>
        <v>2239479</v>
      </c>
      <c r="AJ166" s="224">
        <f t="shared" si="18"/>
        <v>2239479</v>
      </c>
      <c r="AK166" s="224">
        <f t="shared" si="19"/>
        <v>2196114.0020000003</v>
      </c>
      <c r="AL166" s="224">
        <f t="shared" si="15"/>
        <v>2239479</v>
      </c>
      <c r="AM166" s="225">
        <f t="shared" si="16"/>
        <v>0</v>
      </c>
    </row>
    <row r="167" spans="1:39" s="253" customFormat="1" ht="25.5" customHeight="1" x14ac:dyDescent="0.2">
      <c r="A167" s="1061" t="s">
        <v>1106</v>
      </c>
      <c r="B167" s="310"/>
      <c r="C167" s="310">
        <f>+C178+C179</f>
        <v>47000</v>
      </c>
      <c r="D167" s="310">
        <f>+D178+D179</f>
        <v>47000</v>
      </c>
      <c r="E167" s="310">
        <v>47799.534</v>
      </c>
      <c r="F167" s="1063">
        <v>47000</v>
      </c>
      <c r="G167" s="1063">
        <v>0</v>
      </c>
      <c r="H167" s="1063">
        <v>0</v>
      </c>
      <c r="I167" s="1063">
        <v>689.49599999999998</v>
      </c>
      <c r="J167" s="1063">
        <v>0</v>
      </c>
      <c r="K167" s="1063"/>
      <c r="L167" s="1063"/>
      <c r="M167" s="1063">
        <v>109.4</v>
      </c>
      <c r="N167" s="1063">
        <v>0</v>
      </c>
      <c r="O167" s="1063"/>
      <c r="P167" s="1063"/>
      <c r="Q167" s="1063"/>
      <c r="R167" s="1063">
        <v>0</v>
      </c>
      <c r="S167" s="1063"/>
      <c r="T167" s="1063"/>
      <c r="U167" s="1063"/>
      <c r="V167" s="1063">
        <v>0</v>
      </c>
      <c r="W167" s="1063"/>
      <c r="X167" s="1063"/>
      <c r="Y167" s="1063"/>
      <c r="Z167" s="1063">
        <v>0</v>
      </c>
      <c r="AA167" s="1063"/>
      <c r="AB167" s="1063"/>
      <c r="AC167" s="1063"/>
      <c r="AD167" s="1063">
        <v>0</v>
      </c>
      <c r="AE167" s="1063"/>
      <c r="AF167" s="1063"/>
      <c r="AG167" s="1063"/>
      <c r="AH167" s="1063">
        <v>0</v>
      </c>
      <c r="AI167" s="224">
        <f t="shared" si="17"/>
        <v>47000</v>
      </c>
      <c r="AJ167" s="224">
        <f t="shared" si="18"/>
        <v>47000</v>
      </c>
      <c r="AK167" s="224">
        <f t="shared" si="19"/>
        <v>48598.43</v>
      </c>
      <c r="AL167" s="224">
        <f t="shared" si="15"/>
        <v>47000</v>
      </c>
      <c r="AM167" s="225">
        <f t="shared" si="16"/>
        <v>0</v>
      </c>
    </row>
    <row r="168" spans="1:39" s="264" customFormat="1" ht="20.100000000000001" hidden="1" customHeight="1" x14ac:dyDescent="0.2">
      <c r="A168" s="234" t="s">
        <v>315</v>
      </c>
      <c r="B168" s="254"/>
      <c r="C168" s="254"/>
      <c r="D168" s="254"/>
      <c r="E168" s="254"/>
      <c r="F168" s="286"/>
      <c r="G168" s="286"/>
      <c r="H168" s="286"/>
      <c r="I168" s="286"/>
      <c r="J168" s="288"/>
      <c r="K168" s="288"/>
      <c r="L168" s="288"/>
      <c r="M168" s="288"/>
      <c r="N168" s="288"/>
      <c r="O168" s="288"/>
      <c r="P168" s="288"/>
      <c r="Q168" s="288"/>
      <c r="R168" s="288"/>
      <c r="S168" s="288"/>
      <c r="T168" s="288"/>
      <c r="U168" s="288"/>
      <c r="V168" s="288"/>
      <c r="W168" s="288"/>
      <c r="X168" s="288"/>
      <c r="Y168" s="288"/>
      <c r="Z168" s="288"/>
      <c r="AA168" s="288"/>
      <c r="AB168" s="288"/>
      <c r="AC168" s="288"/>
      <c r="AD168" s="288"/>
      <c r="AE168" s="288"/>
      <c r="AF168" s="288"/>
      <c r="AG168" s="288"/>
      <c r="AH168" s="288"/>
      <c r="AI168" s="224">
        <f t="shared" si="17"/>
        <v>0</v>
      </c>
      <c r="AJ168" s="224">
        <f t="shared" si="18"/>
        <v>0</v>
      </c>
      <c r="AK168" s="224">
        <f t="shared" si="19"/>
        <v>0</v>
      </c>
      <c r="AL168" s="224">
        <f t="shared" si="15"/>
        <v>0</v>
      </c>
      <c r="AM168" s="225">
        <f t="shared" si="16"/>
        <v>0</v>
      </c>
    </row>
    <row r="169" spans="1:39" s="238" customFormat="1" ht="20.100000000000001" hidden="1" customHeight="1" x14ac:dyDescent="0.2">
      <c r="A169" s="234" t="s">
        <v>316</v>
      </c>
      <c r="B169" s="235"/>
      <c r="C169" s="235"/>
      <c r="D169" s="235"/>
      <c r="E169" s="235"/>
      <c r="F169" s="279"/>
      <c r="G169" s="279"/>
      <c r="H169" s="279"/>
      <c r="I169" s="279"/>
      <c r="J169" s="280"/>
      <c r="K169" s="280"/>
      <c r="L169" s="280"/>
      <c r="M169" s="280"/>
      <c r="N169" s="280"/>
      <c r="O169" s="280"/>
      <c r="P169" s="280"/>
      <c r="Q169" s="280"/>
      <c r="R169" s="280"/>
      <c r="S169" s="280"/>
      <c r="T169" s="280"/>
      <c r="U169" s="280"/>
      <c r="V169" s="280"/>
      <c r="W169" s="280"/>
      <c r="X169" s="280"/>
      <c r="Y169" s="280"/>
      <c r="Z169" s="280"/>
      <c r="AA169" s="280"/>
      <c r="AB169" s="280"/>
      <c r="AC169" s="280"/>
      <c r="AD169" s="280"/>
      <c r="AE169" s="280"/>
      <c r="AF169" s="280"/>
      <c r="AG169" s="280"/>
      <c r="AH169" s="280"/>
      <c r="AI169" s="224">
        <f t="shared" si="17"/>
        <v>0</v>
      </c>
      <c r="AJ169" s="224">
        <f t="shared" si="18"/>
        <v>0</v>
      </c>
      <c r="AK169" s="224">
        <f t="shared" si="19"/>
        <v>0</v>
      </c>
      <c r="AL169" s="224">
        <f t="shared" si="15"/>
        <v>0</v>
      </c>
      <c r="AM169" s="225">
        <f t="shared" si="16"/>
        <v>0</v>
      </c>
    </row>
    <row r="170" spans="1:39" s="238" customFormat="1" ht="20.100000000000001" hidden="1" customHeight="1" x14ac:dyDescent="0.2">
      <c r="A170" s="234" t="s">
        <v>317</v>
      </c>
      <c r="B170" s="235"/>
      <c r="C170" s="235"/>
      <c r="D170" s="235"/>
      <c r="E170" s="235"/>
      <c r="F170" s="279"/>
      <c r="G170" s="279"/>
      <c r="H170" s="279"/>
      <c r="I170" s="279"/>
      <c r="J170" s="280"/>
      <c r="K170" s="280"/>
      <c r="L170" s="280"/>
      <c r="M170" s="280"/>
      <c r="N170" s="280"/>
      <c r="O170" s="280"/>
      <c r="P170" s="280"/>
      <c r="Q170" s="280"/>
      <c r="R170" s="280"/>
      <c r="S170" s="280"/>
      <c r="T170" s="280"/>
      <c r="U170" s="280"/>
      <c r="V170" s="280"/>
      <c r="W170" s="280"/>
      <c r="X170" s="280"/>
      <c r="Y170" s="280"/>
      <c r="Z170" s="280"/>
      <c r="AA170" s="280"/>
      <c r="AB170" s="280"/>
      <c r="AC170" s="280"/>
      <c r="AD170" s="280"/>
      <c r="AE170" s="280"/>
      <c r="AF170" s="280"/>
      <c r="AG170" s="280"/>
      <c r="AH170" s="280"/>
      <c r="AI170" s="224">
        <f t="shared" si="17"/>
        <v>0</v>
      </c>
      <c r="AJ170" s="224">
        <f t="shared" si="18"/>
        <v>0</v>
      </c>
      <c r="AK170" s="224">
        <f t="shared" si="19"/>
        <v>0</v>
      </c>
      <c r="AL170" s="224">
        <f t="shared" si="15"/>
        <v>0</v>
      </c>
      <c r="AM170" s="225">
        <f t="shared" si="16"/>
        <v>0</v>
      </c>
    </row>
    <row r="171" spans="1:39" s="238" customFormat="1" ht="20.100000000000001" hidden="1" customHeight="1" x14ac:dyDescent="0.2">
      <c r="A171" s="234" t="s">
        <v>318</v>
      </c>
      <c r="B171" s="235"/>
      <c r="C171" s="235"/>
      <c r="D171" s="235"/>
      <c r="E171" s="235"/>
      <c r="F171" s="279"/>
      <c r="G171" s="279"/>
      <c r="H171" s="279"/>
      <c r="I171" s="279"/>
      <c r="J171" s="280"/>
      <c r="K171" s="280"/>
      <c r="L171" s="280"/>
      <c r="M171" s="280"/>
      <c r="N171" s="280"/>
      <c r="O171" s="280"/>
      <c r="P171" s="280"/>
      <c r="Q171" s="280"/>
      <c r="R171" s="280"/>
      <c r="S171" s="280"/>
      <c r="T171" s="280"/>
      <c r="U171" s="280"/>
      <c r="V171" s="280"/>
      <c r="W171" s="280"/>
      <c r="X171" s="280"/>
      <c r="Y171" s="280"/>
      <c r="Z171" s="280"/>
      <c r="AA171" s="280"/>
      <c r="AB171" s="280"/>
      <c r="AC171" s="280"/>
      <c r="AD171" s="280"/>
      <c r="AE171" s="280"/>
      <c r="AF171" s="280"/>
      <c r="AG171" s="280"/>
      <c r="AH171" s="280"/>
      <c r="AI171" s="224">
        <f t="shared" si="17"/>
        <v>0</v>
      </c>
      <c r="AJ171" s="224">
        <f t="shared" si="18"/>
        <v>0</v>
      </c>
      <c r="AK171" s="224">
        <f t="shared" si="19"/>
        <v>0</v>
      </c>
      <c r="AL171" s="224">
        <f t="shared" si="15"/>
        <v>0</v>
      </c>
      <c r="AM171" s="225">
        <f t="shared" si="16"/>
        <v>0</v>
      </c>
    </row>
    <row r="172" spans="1:39" s="238" customFormat="1" ht="20.100000000000001" hidden="1" customHeight="1" x14ac:dyDescent="0.2">
      <c r="A172" s="234" t="s">
        <v>319</v>
      </c>
      <c r="B172" s="235"/>
      <c r="C172" s="235"/>
      <c r="D172" s="235"/>
      <c r="E172" s="235"/>
      <c r="F172" s="283"/>
      <c r="G172" s="283"/>
      <c r="H172" s="283"/>
      <c r="I172" s="283"/>
      <c r="J172" s="284"/>
      <c r="K172" s="284"/>
      <c r="L172" s="284"/>
      <c r="M172" s="284"/>
      <c r="N172" s="284"/>
      <c r="O172" s="284"/>
      <c r="P172" s="284"/>
      <c r="Q172" s="284"/>
      <c r="R172" s="280"/>
      <c r="S172" s="280"/>
      <c r="T172" s="280"/>
      <c r="U172" s="280"/>
      <c r="V172" s="280"/>
      <c r="W172" s="280"/>
      <c r="X172" s="280"/>
      <c r="Y172" s="280"/>
      <c r="Z172" s="280"/>
      <c r="AA172" s="280"/>
      <c r="AB172" s="280"/>
      <c r="AC172" s="280"/>
      <c r="AD172" s="280"/>
      <c r="AE172" s="280"/>
      <c r="AF172" s="280"/>
      <c r="AG172" s="280"/>
      <c r="AH172" s="280"/>
      <c r="AI172" s="224">
        <f t="shared" si="17"/>
        <v>0</v>
      </c>
      <c r="AJ172" s="224">
        <f t="shared" si="18"/>
        <v>0</v>
      </c>
      <c r="AK172" s="224">
        <f t="shared" si="19"/>
        <v>0</v>
      </c>
      <c r="AL172" s="224">
        <f t="shared" si="15"/>
        <v>0</v>
      </c>
      <c r="AM172" s="225">
        <f t="shared" si="16"/>
        <v>0</v>
      </c>
    </row>
    <row r="173" spans="1:39" s="238" customFormat="1" ht="46.5" hidden="1" customHeight="1" x14ac:dyDescent="0.2">
      <c r="A173" s="234" t="s">
        <v>320</v>
      </c>
      <c r="B173" s="235"/>
      <c r="C173" s="235"/>
      <c r="D173" s="235"/>
      <c r="E173" s="235"/>
      <c r="F173" s="283"/>
      <c r="G173" s="283"/>
      <c r="H173" s="283"/>
      <c r="I173" s="283"/>
      <c r="J173" s="284"/>
      <c r="K173" s="284"/>
      <c r="L173" s="284"/>
      <c r="M173" s="284"/>
      <c r="N173" s="284"/>
      <c r="O173" s="284"/>
      <c r="P173" s="284"/>
      <c r="Q173" s="284"/>
      <c r="R173" s="280"/>
      <c r="S173" s="280"/>
      <c r="T173" s="280"/>
      <c r="U173" s="280"/>
      <c r="V173" s="280"/>
      <c r="W173" s="280"/>
      <c r="X173" s="280"/>
      <c r="Y173" s="280"/>
      <c r="Z173" s="280"/>
      <c r="AA173" s="280"/>
      <c r="AB173" s="280"/>
      <c r="AC173" s="280"/>
      <c r="AD173" s="280"/>
      <c r="AE173" s="280"/>
      <c r="AF173" s="280"/>
      <c r="AG173" s="280"/>
      <c r="AH173" s="280"/>
      <c r="AI173" s="224">
        <f t="shared" si="17"/>
        <v>0</v>
      </c>
      <c r="AJ173" s="224">
        <f t="shared" si="18"/>
        <v>0</v>
      </c>
      <c r="AK173" s="224">
        <f t="shared" si="19"/>
        <v>0</v>
      </c>
      <c r="AL173" s="224">
        <f t="shared" si="15"/>
        <v>0</v>
      </c>
      <c r="AM173" s="225">
        <f t="shared" si="16"/>
        <v>0</v>
      </c>
    </row>
    <row r="174" spans="1:39" s="238" customFormat="1" ht="20.100000000000001" hidden="1" customHeight="1" x14ac:dyDescent="0.2">
      <c r="A174" s="234" t="s">
        <v>321</v>
      </c>
      <c r="B174" s="235"/>
      <c r="C174" s="235"/>
      <c r="D174" s="235"/>
      <c r="E174" s="235"/>
      <c r="F174" s="279"/>
      <c r="G174" s="279"/>
      <c r="H174" s="279"/>
      <c r="I174" s="279"/>
      <c r="J174" s="280"/>
      <c r="K174" s="280"/>
      <c r="L174" s="280"/>
      <c r="M174" s="280"/>
      <c r="N174" s="280"/>
      <c r="O174" s="280"/>
      <c r="P174" s="280"/>
      <c r="Q174" s="280"/>
      <c r="R174" s="280"/>
      <c r="S174" s="280"/>
      <c r="T174" s="280"/>
      <c r="U174" s="280"/>
      <c r="V174" s="280"/>
      <c r="W174" s="280"/>
      <c r="X174" s="280"/>
      <c r="Y174" s="280"/>
      <c r="Z174" s="280"/>
      <c r="AA174" s="280"/>
      <c r="AB174" s="280"/>
      <c r="AC174" s="280"/>
      <c r="AD174" s="280"/>
      <c r="AE174" s="280"/>
      <c r="AF174" s="280"/>
      <c r="AG174" s="280"/>
      <c r="AH174" s="280"/>
      <c r="AI174" s="224">
        <f t="shared" si="17"/>
        <v>0</v>
      </c>
      <c r="AJ174" s="224">
        <f t="shared" si="18"/>
        <v>0</v>
      </c>
      <c r="AK174" s="224">
        <f t="shared" si="19"/>
        <v>0</v>
      </c>
      <c r="AL174" s="224">
        <f t="shared" si="15"/>
        <v>0</v>
      </c>
      <c r="AM174" s="225">
        <f t="shared" si="16"/>
        <v>0</v>
      </c>
    </row>
    <row r="175" spans="1:39" s="238" customFormat="1" ht="20.100000000000001" hidden="1" customHeight="1" x14ac:dyDescent="0.2">
      <c r="A175" s="234" t="s">
        <v>322</v>
      </c>
      <c r="B175" s="235"/>
      <c r="C175" s="235"/>
      <c r="D175" s="235"/>
      <c r="E175" s="235"/>
      <c r="F175" s="279"/>
      <c r="G175" s="279"/>
      <c r="H175" s="279"/>
      <c r="I175" s="279"/>
      <c r="J175" s="280"/>
      <c r="K175" s="280"/>
      <c r="L175" s="280"/>
      <c r="M175" s="280"/>
      <c r="N175" s="280"/>
      <c r="O175" s="280"/>
      <c r="P175" s="280"/>
      <c r="Q175" s="280"/>
      <c r="R175" s="280"/>
      <c r="S175" s="280"/>
      <c r="T175" s="280"/>
      <c r="U175" s="280"/>
      <c r="V175" s="280"/>
      <c r="W175" s="280"/>
      <c r="X175" s="280"/>
      <c r="Y175" s="280"/>
      <c r="Z175" s="280"/>
      <c r="AA175" s="280"/>
      <c r="AB175" s="280"/>
      <c r="AC175" s="280"/>
      <c r="AD175" s="280"/>
      <c r="AE175" s="280"/>
      <c r="AF175" s="280"/>
      <c r="AG175" s="280"/>
      <c r="AH175" s="280"/>
      <c r="AI175" s="224">
        <f t="shared" si="17"/>
        <v>0</v>
      </c>
      <c r="AJ175" s="224">
        <f t="shared" si="18"/>
        <v>0</v>
      </c>
      <c r="AK175" s="224">
        <f t="shared" si="19"/>
        <v>0</v>
      </c>
      <c r="AL175" s="224">
        <f t="shared" si="15"/>
        <v>0</v>
      </c>
      <c r="AM175" s="225">
        <f t="shared" si="16"/>
        <v>0</v>
      </c>
    </row>
    <row r="176" spans="1:39" s="238" customFormat="1" ht="20.100000000000001" hidden="1" customHeight="1" x14ac:dyDescent="0.2">
      <c r="A176" s="234" t="s">
        <v>323</v>
      </c>
      <c r="B176" s="235"/>
      <c r="C176" s="235"/>
      <c r="D176" s="235"/>
      <c r="E176" s="235"/>
      <c r="F176" s="279"/>
      <c r="G176" s="279"/>
      <c r="H176" s="279"/>
      <c r="I176" s="279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80"/>
      <c r="AE176" s="280"/>
      <c r="AF176" s="280"/>
      <c r="AG176" s="280"/>
      <c r="AH176" s="280"/>
      <c r="AI176" s="224">
        <f t="shared" si="17"/>
        <v>0</v>
      </c>
      <c r="AJ176" s="224">
        <f t="shared" si="18"/>
        <v>0</v>
      </c>
      <c r="AK176" s="224">
        <f t="shared" si="19"/>
        <v>0</v>
      </c>
      <c r="AL176" s="224">
        <f t="shared" si="15"/>
        <v>0</v>
      </c>
      <c r="AM176" s="225">
        <f t="shared" si="16"/>
        <v>0</v>
      </c>
    </row>
    <row r="177" spans="1:39" s="238" customFormat="1" ht="20.100000000000001" hidden="1" customHeight="1" x14ac:dyDescent="0.2">
      <c r="A177" s="234" t="s">
        <v>324</v>
      </c>
      <c r="B177" s="235"/>
      <c r="C177" s="235"/>
      <c r="D177" s="235"/>
      <c r="E177" s="235"/>
      <c r="F177" s="279"/>
      <c r="G177" s="279"/>
      <c r="H177" s="279"/>
      <c r="I177" s="279"/>
      <c r="J177" s="284"/>
      <c r="K177" s="284"/>
      <c r="L177" s="284"/>
      <c r="M177" s="284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80"/>
      <c r="AE177" s="280"/>
      <c r="AF177" s="280"/>
      <c r="AG177" s="280"/>
      <c r="AH177" s="280"/>
      <c r="AI177" s="224">
        <f t="shared" si="17"/>
        <v>0</v>
      </c>
      <c r="AJ177" s="224">
        <f t="shared" si="18"/>
        <v>0</v>
      </c>
      <c r="AK177" s="224">
        <f t="shared" si="19"/>
        <v>0</v>
      </c>
      <c r="AL177" s="224">
        <f t="shared" si="15"/>
        <v>0</v>
      </c>
      <c r="AM177" s="225">
        <f t="shared" si="16"/>
        <v>0</v>
      </c>
    </row>
    <row r="178" spans="1:39" s="238" customFormat="1" ht="54.75" customHeight="1" x14ac:dyDescent="0.2">
      <c r="A178" s="234" t="s">
        <v>325</v>
      </c>
      <c r="B178" s="235"/>
      <c r="C178" s="236">
        <v>40000</v>
      </c>
      <c r="D178" s="236">
        <v>40000</v>
      </c>
      <c r="E178" s="235">
        <v>27843.474999999999</v>
      </c>
      <c r="F178" s="279">
        <v>40000</v>
      </c>
      <c r="G178" s="279"/>
      <c r="H178" s="279"/>
      <c r="I178" s="279"/>
      <c r="J178" s="280"/>
      <c r="K178" s="280"/>
      <c r="L178" s="280"/>
      <c r="M178" s="280"/>
      <c r="N178" s="280"/>
      <c r="O178" s="280"/>
      <c r="P178" s="280"/>
      <c r="Q178" s="280"/>
      <c r="R178" s="280"/>
      <c r="S178" s="280"/>
      <c r="T178" s="280"/>
      <c r="U178" s="280"/>
      <c r="V178" s="280"/>
      <c r="W178" s="280"/>
      <c r="X178" s="280"/>
      <c r="Y178" s="280"/>
      <c r="Z178" s="280"/>
      <c r="AA178" s="280"/>
      <c r="AB178" s="280"/>
      <c r="AC178" s="280"/>
      <c r="AD178" s="280"/>
      <c r="AE178" s="280"/>
      <c r="AF178" s="280"/>
      <c r="AG178" s="280"/>
      <c r="AH178" s="280"/>
      <c r="AI178" s="224">
        <f t="shared" si="17"/>
        <v>40000</v>
      </c>
      <c r="AJ178" s="224">
        <f t="shared" si="18"/>
        <v>40000</v>
      </c>
      <c r="AK178" s="224">
        <f t="shared" si="19"/>
        <v>27843.474999999999</v>
      </c>
      <c r="AL178" s="224">
        <f t="shared" si="15"/>
        <v>40000</v>
      </c>
      <c r="AM178" s="225">
        <f t="shared" si="16"/>
        <v>0</v>
      </c>
    </row>
    <row r="179" spans="1:39" s="238" customFormat="1" ht="20.100000000000001" customHeight="1" x14ac:dyDescent="0.2">
      <c r="A179" s="234" t="s">
        <v>326</v>
      </c>
      <c r="B179" s="235"/>
      <c r="C179" s="236">
        <v>7000</v>
      </c>
      <c r="D179" s="236">
        <v>7000</v>
      </c>
      <c r="E179" s="235">
        <v>10445.661</v>
      </c>
      <c r="F179" s="279">
        <v>7000</v>
      </c>
      <c r="G179" s="279"/>
      <c r="H179" s="279"/>
      <c r="I179" s="279"/>
      <c r="J179" s="280"/>
      <c r="K179" s="280"/>
      <c r="L179" s="280"/>
      <c r="M179" s="280"/>
      <c r="N179" s="280"/>
      <c r="O179" s="280"/>
      <c r="P179" s="280"/>
      <c r="Q179" s="280"/>
      <c r="R179" s="280"/>
      <c r="S179" s="280"/>
      <c r="T179" s="280"/>
      <c r="U179" s="280"/>
      <c r="V179" s="280"/>
      <c r="W179" s="280"/>
      <c r="X179" s="280"/>
      <c r="Y179" s="280"/>
      <c r="Z179" s="280"/>
      <c r="AA179" s="280"/>
      <c r="AB179" s="280"/>
      <c r="AC179" s="280"/>
      <c r="AD179" s="280"/>
      <c r="AE179" s="280"/>
      <c r="AF179" s="280"/>
      <c r="AG179" s="280"/>
      <c r="AH179" s="280"/>
      <c r="AI179" s="224">
        <f t="shared" si="17"/>
        <v>7000</v>
      </c>
      <c r="AJ179" s="224">
        <f t="shared" si="18"/>
        <v>7000</v>
      </c>
      <c r="AK179" s="224">
        <f t="shared" si="19"/>
        <v>10445.661</v>
      </c>
      <c r="AL179" s="224">
        <f t="shared" si="15"/>
        <v>7000</v>
      </c>
      <c r="AM179" s="225">
        <f t="shared" si="16"/>
        <v>0</v>
      </c>
    </row>
    <row r="180" spans="1:39" s="238" customFormat="1" ht="20.100000000000001" hidden="1" customHeight="1" x14ac:dyDescent="0.2">
      <c r="A180" s="234" t="s">
        <v>327</v>
      </c>
      <c r="B180" s="235"/>
      <c r="C180" s="235"/>
      <c r="D180" s="235"/>
      <c r="E180" s="235"/>
      <c r="F180" s="279"/>
      <c r="G180" s="279"/>
      <c r="H180" s="279"/>
      <c r="I180" s="279"/>
      <c r="J180" s="280"/>
      <c r="K180" s="280"/>
      <c r="L180" s="280"/>
      <c r="M180" s="280"/>
      <c r="N180" s="280"/>
      <c r="O180" s="280"/>
      <c r="P180" s="280"/>
      <c r="Q180" s="280"/>
      <c r="R180" s="280"/>
      <c r="S180" s="280"/>
      <c r="T180" s="280"/>
      <c r="U180" s="280"/>
      <c r="V180" s="280"/>
      <c r="W180" s="280"/>
      <c r="X180" s="280"/>
      <c r="Y180" s="280"/>
      <c r="Z180" s="280"/>
      <c r="AA180" s="280"/>
      <c r="AB180" s="280"/>
      <c r="AC180" s="280"/>
      <c r="AD180" s="280"/>
      <c r="AE180" s="280"/>
      <c r="AF180" s="280"/>
      <c r="AG180" s="280"/>
      <c r="AH180" s="280"/>
      <c r="AI180" s="224">
        <f t="shared" si="17"/>
        <v>0</v>
      </c>
      <c r="AJ180" s="224">
        <f t="shared" si="18"/>
        <v>0</v>
      </c>
      <c r="AK180" s="224">
        <f t="shared" si="19"/>
        <v>0</v>
      </c>
      <c r="AL180" s="224">
        <f t="shared" si="15"/>
        <v>0</v>
      </c>
      <c r="AM180" s="225">
        <f t="shared" si="16"/>
        <v>0</v>
      </c>
    </row>
    <row r="181" spans="1:39" s="238" customFormat="1" ht="20.100000000000001" hidden="1" customHeight="1" x14ac:dyDescent="0.2">
      <c r="A181" s="234" t="s">
        <v>328</v>
      </c>
      <c r="B181" s="235"/>
      <c r="C181" s="235"/>
      <c r="D181" s="235"/>
      <c r="E181" s="235"/>
      <c r="F181" s="279"/>
      <c r="G181" s="279"/>
      <c r="H181" s="279"/>
      <c r="I181" s="279"/>
      <c r="J181" s="280"/>
      <c r="K181" s="280"/>
      <c r="L181" s="280"/>
      <c r="M181" s="280"/>
      <c r="N181" s="280"/>
      <c r="O181" s="280"/>
      <c r="P181" s="280"/>
      <c r="Q181" s="280"/>
      <c r="R181" s="280"/>
      <c r="S181" s="280"/>
      <c r="T181" s="280"/>
      <c r="U181" s="280"/>
      <c r="V181" s="280"/>
      <c r="W181" s="280"/>
      <c r="X181" s="280"/>
      <c r="Y181" s="280"/>
      <c r="Z181" s="280"/>
      <c r="AA181" s="280"/>
      <c r="AB181" s="280"/>
      <c r="AC181" s="280"/>
      <c r="AD181" s="280"/>
      <c r="AE181" s="280"/>
      <c r="AF181" s="280"/>
      <c r="AG181" s="280"/>
      <c r="AH181" s="280"/>
      <c r="AI181" s="224">
        <f t="shared" si="17"/>
        <v>0</v>
      </c>
      <c r="AJ181" s="224">
        <f t="shared" si="18"/>
        <v>0</v>
      </c>
      <c r="AK181" s="224">
        <f t="shared" si="19"/>
        <v>0</v>
      </c>
      <c r="AL181" s="224">
        <f t="shared" si="15"/>
        <v>0</v>
      </c>
      <c r="AM181" s="225">
        <f t="shared" si="16"/>
        <v>0</v>
      </c>
    </row>
    <row r="182" spans="1:39" s="238" customFormat="1" ht="20.100000000000001" hidden="1" customHeight="1" x14ac:dyDescent="0.2">
      <c r="A182" s="234" t="s">
        <v>329</v>
      </c>
      <c r="B182" s="235"/>
      <c r="C182" s="235"/>
      <c r="D182" s="235"/>
      <c r="E182" s="235"/>
      <c r="F182" s="279"/>
      <c r="G182" s="279"/>
      <c r="H182" s="279"/>
      <c r="I182" s="279"/>
      <c r="J182" s="280"/>
      <c r="K182" s="280"/>
      <c r="L182" s="280"/>
      <c r="M182" s="280"/>
      <c r="N182" s="280"/>
      <c r="O182" s="280"/>
      <c r="P182" s="280"/>
      <c r="Q182" s="280"/>
      <c r="R182" s="280"/>
      <c r="S182" s="280"/>
      <c r="T182" s="280"/>
      <c r="U182" s="280"/>
      <c r="V182" s="280"/>
      <c r="W182" s="280"/>
      <c r="X182" s="280"/>
      <c r="Y182" s="280"/>
      <c r="Z182" s="280"/>
      <c r="AA182" s="280"/>
      <c r="AB182" s="280"/>
      <c r="AC182" s="280"/>
      <c r="AD182" s="280"/>
      <c r="AE182" s="280"/>
      <c r="AF182" s="280"/>
      <c r="AG182" s="280"/>
      <c r="AH182" s="280"/>
      <c r="AI182" s="224">
        <f t="shared" si="17"/>
        <v>0</v>
      </c>
      <c r="AJ182" s="224">
        <f t="shared" si="18"/>
        <v>0</v>
      </c>
      <c r="AK182" s="224">
        <f t="shared" si="19"/>
        <v>0</v>
      </c>
      <c r="AL182" s="224">
        <f t="shared" si="15"/>
        <v>0</v>
      </c>
      <c r="AM182" s="225">
        <f t="shared" si="16"/>
        <v>0</v>
      </c>
    </row>
    <row r="183" spans="1:39" s="275" customFormat="1" ht="26.25" hidden="1" customHeight="1" x14ac:dyDescent="0.2">
      <c r="A183" s="234" t="s">
        <v>330</v>
      </c>
      <c r="B183" s="272"/>
      <c r="C183" s="272"/>
      <c r="D183" s="272"/>
      <c r="E183" s="272"/>
      <c r="F183" s="279"/>
      <c r="G183" s="299"/>
      <c r="H183" s="299"/>
      <c r="I183" s="299"/>
      <c r="J183" s="300"/>
      <c r="K183" s="300"/>
      <c r="L183" s="300"/>
      <c r="M183" s="300"/>
      <c r="N183" s="300"/>
      <c r="O183" s="300"/>
      <c r="P183" s="300"/>
      <c r="Q183" s="300"/>
      <c r="R183" s="300"/>
      <c r="S183" s="300"/>
      <c r="T183" s="300"/>
      <c r="U183" s="300"/>
      <c r="V183" s="300"/>
      <c r="W183" s="300"/>
      <c r="X183" s="300"/>
      <c r="Y183" s="300"/>
      <c r="Z183" s="300"/>
      <c r="AA183" s="300"/>
      <c r="AB183" s="300"/>
      <c r="AC183" s="300"/>
      <c r="AD183" s="300"/>
      <c r="AE183" s="300"/>
      <c r="AF183" s="300"/>
      <c r="AG183" s="300"/>
      <c r="AH183" s="300"/>
      <c r="AI183" s="224">
        <f t="shared" si="17"/>
        <v>0</v>
      </c>
      <c r="AJ183" s="224">
        <f t="shared" si="18"/>
        <v>0</v>
      </c>
      <c r="AK183" s="224">
        <f t="shared" si="19"/>
        <v>0</v>
      </c>
      <c r="AL183" s="224">
        <f t="shared" si="15"/>
        <v>0</v>
      </c>
      <c r="AM183" s="225">
        <f t="shared" si="16"/>
        <v>0</v>
      </c>
    </row>
    <row r="184" spans="1:39" s="275" customFormat="1" ht="20.100000000000001" hidden="1" customHeight="1" x14ac:dyDescent="0.2">
      <c r="A184" s="234" t="s">
        <v>331</v>
      </c>
      <c r="B184" s="272"/>
      <c r="C184" s="272"/>
      <c r="D184" s="272"/>
      <c r="E184" s="272"/>
      <c r="F184" s="301"/>
      <c r="G184" s="301"/>
      <c r="H184" s="301"/>
      <c r="I184" s="301"/>
      <c r="J184" s="300"/>
      <c r="K184" s="300"/>
      <c r="L184" s="300"/>
      <c r="M184" s="300"/>
      <c r="N184" s="300"/>
      <c r="O184" s="300"/>
      <c r="P184" s="300"/>
      <c r="Q184" s="300"/>
      <c r="R184" s="300"/>
      <c r="S184" s="300"/>
      <c r="T184" s="300"/>
      <c r="U184" s="300"/>
      <c r="V184" s="300"/>
      <c r="W184" s="300"/>
      <c r="X184" s="300"/>
      <c r="Y184" s="300"/>
      <c r="Z184" s="300"/>
      <c r="AA184" s="300"/>
      <c r="AB184" s="300"/>
      <c r="AC184" s="300"/>
      <c r="AD184" s="300"/>
      <c r="AE184" s="300"/>
      <c r="AF184" s="300"/>
      <c r="AG184" s="300"/>
      <c r="AH184" s="300"/>
      <c r="AI184" s="224">
        <f t="shared" si="17"/>
        <v>0</v>
      </c>
      <c r="AJ184" s="224">
        <f t="shared" si="18"/>
        <v>0</v>
      </c>
      <c r="AK184" s="224">
        <f t="shared" si="19"/>
        <v>0</v>
      </c>
      <c r="AL184" s="224">
        <f t="shared" si="15"/>
        <v>0</v>
      </c>
      <c r="AM184" s="225">
        <f t="shared" si="16"/>
        <v>0</v>
      </c>
    </row>
    <row r="185" spans="1:39" s="275" customFormat="1" ht="20.100000000000001" hidden="1" customHeight="1" x14ac:dyDescent="0.2">
      <c r="A185" s="234" t="s">
        <v>332</v>
      </c>
      <c r="B185" s="272"/>
      <c r="C185" s="272"/>
      <c r="D185" s="272"/>
      <c r="E185" s="272"/>
      <c r="F185" s="301"/>
      <c r="G185" s="301"/>
      <c r="H185" s="301"/>
      <c r="I185" s="301"/>
      <c r="J185" s="300"/>
      <c r="K185" s="300"/>
      <c r="L185" s="300"/>
      <c r="M185" s="300"/>
      <c r="N185" s="300"/>
      <c r="O185" s="300"/>
      <c r="P185" s="300"/>
      <c r="Q185" s="300"/>
      <c r="R185" s="300"/>
      <c r="S185" s="300"/>
      <c r="T185" s="300"/>
      <c r="U185" s="300"/>
      <c r="V185" s="300"/>
      <c r="W185" s="300"/>
      <c r="X185" s="300"/>
      <c r="Y185" s="300"/>
      <c r="Z185" s="300"/>
      <c r="AA185" s="300"/>
      <c r="AB185" s="300"/>
      <c r="AC185" s="300"/>
      <c r="AD185" s="300"/>
      <c r="AE185" s="300"/>
      <c r="AF185" s="300"/>
      <c r="AG185" s="300"/>
      <c r="AH185" s="300"/>
      <c r="AI185" s="224">
        <f t="shared" si="17"/>
        <v>0</v>
      </c>
      <c r="AJ185" s="224">
        <f t="shared" si="18"/>
        <v>0</v>
      </c>
      <c r="AK185" s="224">
        <f t="shared" si="19"/>
        <v>0</v>
      </c>
      <c r="AL185" s="224">
        <f t="shared" si="15"/>
        <v>0</v>
      </c>
      <c r="AM185" s="225">
        <f t="shared" si="16"/>
        <v>0</v>
      </c>
    </row>
    <row r="186" spans="1:39" s="304" customFormat="1" ht="30" customHeight="1" thickBot="1" x14ac:dyDescent="0.25">
      <c r="A186" s="265" t="s">
        <v>1107</v>
      </c>
      <c r="B186" s="302" t="s">
        <v>99</v>
      </c>
      <c r="C186" s="303">
        <f>+C167+C166+C111</f>
        <v>2991479</v>
      </c>
      <c r="D186" s="303">
        <f>+D167+D166+D111</f>
        <v>2991479</v>
      </c>
      <c r="E186" s="303">
        <v>2964716.9020000002</v>
      </c>
      <c r="F186" s="303">
        <v>2991479</v>
      </c>
      <c r="G186" s="303">
        <f t="shared" ref="G186:H186" si="20">+G167+G166+G111</f>
        <v>0</v>
      </c>
      <c r="H186" s="303">
        <f t="shared" si="20"/>
        <v>0</v>
      </c>
      <c r="I186" s="303">
        <v>689.49599999999998</v>
      </c>
      <c r="J186" s="303">
        <v>0</v>
      </c>
      <c r="K186" s="303">
        <v>0</v>
      </c>
      <c r="L186" s="303">
        <v>0</v>
      </c>
      <c r="M186" s="303">
        <v>109.4</v>
      </c>
      <c r="N186" s="303">
        <v>0</v>
      </c>
      <c r="O186" s="303"/>
      <c r="P186" s="303"/>
      <c r="Q186" s="303"/>
      <c r="R186" s="303">
        <v>0</v>
      </c>
      <c r="S186" s="303"/>
      <c r="T186" s="303"/>
      <c r="U186" s="303"/>
      <c r="V186" s="303">
        <v>0</v>
      </c>
      <c r="W186" s="303"/>
      <c r="X186" s="303"/>
      <c r="Y186" s="303"/>
      <c r="Z186" s="303">
        <v>0</v>
      </c>
      <c r="AA186" s="303"/>
      <c r="AB186" s="303"/>
      <c r="AC186" s="303"/>
      <c r="AD186" s="303">
        <v>0</v>
      </c>
      <c r="AE186" s="303"/>
      <c r="AF186" s="303"/>
      <c r="AG186" s="303"/>
      <c r="AH186" s="303">
        <v>0</v>
      </c>
      <c r="AI186" s="224">
        <f t="shared" si="17"/>
        <v>2991479</v>
      </c>
      <c r="AJ186" s="224">
        <f t="shared" si="18"/>
        <v>2991479</v>
      </c>
      <c r="AK186" s="224">
        <f t="shared" si="19"/>
        <v>2965515.798</v>
      </c>
      <c r="AL186" s="224">
        <f t="shared" si="15"/>
        <v>2991479</v>
      </c>
      <c r="AM186" s="225">
        <f t="shared" si="16"/>
        <v>0</v>
      </c>
    </row>
    <row r="187" spans="1:39" s="307" customFormat="1" ht="20.100000000000001" customHeight="1" x14ac:dyDescent="0.2">
      <c r="A187" s="220" t="s">
        <v>333</v>
      </c>
      <c r="B187" s="247"/>
      <c r="C187" s="305">
        <v>57</v>
      </c>
      <c r="D187" s="305">
        <v>57</v>
      </c>
      <c r="E187" s="247">
        <v>56.723999999999997</v>
      </c>
      <c r="F187" s="305">
        <v>57</v>
      </c>
      <c r="G187" s="305"/>
      <c r="H187" s="305"/>
      <c r="I187" s="305"/>
      <c r="J187" s="306"/>
      <c r="K187" s="306"/>
      <c r="L187" s="306"/>
      <c r="M187" s="306"/>
      <c r="N187" s="223"/>
      <c r="O187" s="223"/>
      <c r="P187" s="223"/>
      <c r="Q187" s="223"/>
      <c r="R187" s="306"/>
      <c r="S187" s="306"/>
      <c r="T187" s="306"/>
      <c r="U187" s="306"/>
      <c r="V187" s="306"/>
      <c r="W187" s="306"/>
      <c r="X187" s="306"/>
      <c r="Y187" s="306"/>
      <c r="Z187" s="306"/>
      <c r="AA187" s="306"/>
      <c r="AB187" s="306"/>
      <c r="AC187" s="306"/>
      <c r="AD187" s="306"/>
      <c r="AE187" s="306"/>
      <c r="AF187" s="306"/>
      <c r="AG187" s="306"/>
      <c r="AH187" s="223"/>
      <c r="AI187" s="224">
        <f t="shared" si="17"/>
        <v>57</v>
      </c>
      <c r="AJ187" s="224">
        <f t="shared" si="18"/>
        <v>57</v>
      </c>
      <c r="AK187" s="224">
        <f t="shared" si="19"/>
        <v>56.723999999999997</v>
      </c>
      <c r="AL187" s="224">
        <f t="shared" si="15"/>
        <v>57</v>
      </c>
      <c r="AM187" s="225">
        <f t="shared" si="16"/>
        <v>0</v>
      </c>
    </row>
    <row r="188" spans="1:39" s="282" customFormat="1" ht="20.100000000000001" customHeight="1" x14ac:dyDescent="0.2">
      <c r="A188" s="315" t="s">
        <v>1108</v>
      </c>
      <c r="B188" s="310"/>
      <c r="C188" s="1068">
        <f>+C189+C190</f>
        <v>1245000</v>
      </c>
      <c r="D188" s="1068">
        <f>+D189+D190</f>
        <v>1245000</v>
      </c>
      <c r="E188" s="1068">
        <v>911663.38500000001</v>
      </c>
      <c r="F188" s="316">
        <v>1245000</v>
      </c>
      <c r="G188" s="316">
        <v>8000</v>
      </c>
      <c r="H188" s="316">
        <v>8000</v>
      </c>
      <c r="I188" s="316">
        <v>10437.674000000001</v>
      </c>
      <c r="J188" s="316">
        <v>8000</v>
      </c>
      <c r="K188" s="316">
        <v>19069</v>
      </c>
      <c r="L188" s="316">
        <v>19069</v>
      </c>
      <c r="M188" s="316">
        <v>16236.074000000001</v>
      </c>
      <c r="N188" s="316">
        <v>19069</v>
      </c>
      <c r="O188" s="316">
        <v>770071</v>
      </c>
      <c r="P188" s="316">
        <v>770071</v>
      </c>
      <c r="Q188" s="316">
        <v>799866.99199999997</v>
      </c>
      <c r="R188" s="316">
        <v>770071</v>
      </c>
      <c r="S188" s="316"/>
      <c r="T188" s="316"/>
      <c r="U188" s="316"/>
      <c r="V188" s="316">
        <v>0</v>
      </c>
      <c r="W188" s="316">
        <v>0</v>
      </c>
      <c r="X188" s="316">
        <v>0</v>
      </c>
      <c r="Y188" s="316">
        <v>305.24200000000002</v>
      </c>
      <c r="Z188" s="316">
        <v>0</v>
      </c>
      <c r="AA188" s="316">
        <v>224</v>
      </c>
      <c r="AB188" s="316">
        <v>224</v>
      </c>
      <c r="AC188" s="316">
        <v>73.599999999999994</v>
      </c>
      <c r="AD188" s="316">
        <v>224</v>
      </c>
      <c r="AE188" s="316">
        <v>12000</v>
      </c>
      <c r="AF188" s="316">
        <v>12000</v>
      </c>
      <c r="AG188" s="316">
        <v>14043.9</v>
      </c>
      <c r="AH188" s="316">
        <v>12000</v>
      </c>
      <c r="AI188" s="224">
        <f t="shared" si="17"/>
        <v>2054364</v>
      </c>
      <c r="AJ188" s="224">
        <f t="shared" si="18"/>
        <v>2054364</v>
      </c>
      <c r="AK188" s="224">
        <f t="shared" si="19"/>
        <v>1752626.8670000001</v>
      </c>
      <c r="AL188" s="224">
        <f t="shared" si="15"/>
        <v>2054364</v>
      </c>
      <c r="AM188" s="225">
        <f t="shared" si="16"/>
        <v>809364</v>
      </c>
    </row>
    <row r="189" spans="1:39" s="309" customFormat="1" ht="27.75" customHeight="1" x14ac:dyDescent="0.25">
      <c r="A189" s="234" t="s">
        <v>334</v>
      </c>
      <c r="B189" s="308"/>
      <c r="C189" s="1066">
        <v>300000</v>
      </c>
      <c r="D189" s="1066">
        <v>300000</v>
      </c>
      <c r="E189" s="308">
        <v>55847.877</v>
      </c>
      <c r="F189" s="355">
        <v>300000</v>
      </c>
      <c r="G189" s="241"/>
      <c r="H189" s="241"/>
      <c r="I189" s="241"/>
      <c r="J189" s="241"/>
      <c r="K189" s="241"/>
      <c r="L189" s="241"/>
      <c r="M189" s="241"/>
      <c r="N189" s="241"/>
      <c r="O189" s="283">
        <v>750000</v>
      </c>
      <c r="P189" s="283">
        <v>750000</v>
      </c>
      <c r="Q189" s="241">
        <v>785001.348</v>
      </c>
      <c r="R189" s="283">
        <v>750000</v>
      </c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>
        <v>16</v>
      </c>
      <c r="AD189" s="283"/>
      <c r="AE189" s="283"/>
      <c r="AF189" s="283"/>
      <c r="AG189" s="283">
        <v>110</v>
      </c>
      <c r="AH189" s="237"/>
      <c r="AI189" s="224">
        <f t="shared" si="17"/>
        <v>1050000</v>
      </c>
      <c r="AJ189" s="224">
        <f t="shared" si="18"/>
        <v>1050000</v>
      </c>
      <c r="AK189" s="224">
        <f t="shared" si="19"/>
        <v>840975.22499999998</v>
      </c>
      <c r="AL189" s="224">
        <f t="shared" si="15"/>
        <v>1050000</v>
      </c>
      <c r="AM189" s="225">
        <f t="shared" si="16"/>
        <v>750000</v>
      </c>
    </row>
    <row r="190" spans="1:39" s="261" customFormat="1" ht="39" customHeight="1" x14ac:dyDescent="0.2">
      <c r="A190" s="234" t="s">
        <v>335</v>
      </c>
      <c r="B190" s="308"/>
      <c r="C190" s="1066">
        <v>945000</v>
      </c>
      <c r="D190" s="1066">
        <v>945000</v>
      </c>
      <c r="E190" s="308"/>
      <c r="F190" s="283">
        <v>945000</v>
      </c>
      <c r="G190" s="283"/>
      <c r="H190" s="283"/>
      <c r="I190" s="283"/>
      <c r="J190" s="280"/>
      <c r="K190" s="280"/>
      <c r="L190" s="280"/>
      <c r="M190" s="280"/>
      <c r="N190" s="283"/>
      <c r="O190" s="283"/>
      <c r="P190" s="283"/>
      <c r="Q190" s="283"/>
      <c r="R190" s="280"/>
      <c r="S190" s="280"/>
      <c r="T190" s="280"/>
      <c r="U190" s="280"/>
      <c r="V190" s="280"/>
      <c r="W190" s="280"/>
      <c r="X190" s="280"/>
      <c r="Y190" s="280"/>
      <c r="Z190" s="280"/>
      <c r="AA190" s="280"/>
      <c r="AB190" s="280"/>
      <c r="AC190" s="280"/>
      <c r="AD190" s="280"/>
      <c r="AE190" s="280"/>
      <c r="AF190" s="280"/>
      <c r="AG190" s="280"/>
      <c r="AH190" s="280"/>
      <c r="AI190" s="224">
        <f t="shared" si="17"/>
        <v>945000</v>
      </c>
      <c r="AJ190" s="224">
        <f t="shared" si="18"/>
        <v>945000</v>
      </c>
      <c r="AK190" s="224">
        <f t="shared" si="19"/>
        <v>0</v>
      </c>
      <c r="AL190" s="224">
        <f t="shared" si="15"/>
        <v>945000</v>
      </c>
      <c r="AM190" s="225">
        <f t="shared" si="16"/>
        <v>0</v>
      </c>
    </row>
    <row r="191" spans="1:39" s="311" customFormat="1" ht="27.75" customHeight="1" x14ac:dyDescent="0.2">
      <c r="A191" s="227" t="s">
        <v>1109</v>
      </c>
      <c r="B191" s="310"/>
      <c r="C191" s="1068">
        <v>5250</v>
      </c>
      <c r="D191" s="1068">
        <v>5250</v>
      </c>
      <c r="E191" s="1068">
        <v>5388.7079999999996</v>
      </c>
      <c r="F191" s="316">
        <v>5250</v>
      </c>
      <c r="G191" s="279"/>
      <c r="H191" s="279"/>
      <c r="I191" s="279">
        <v>9.109</v>
      </c>
      <c r="J191" s="280"/>
      <c r="K191" s="280"/>
      <c r="L191" s="280"/>
      <c r="M191" s="280"/>
      <c r="N191" s="296"/>
      <c r="O191" s="296">
        <v>104600</v>
      </c>
      <c r="P191" s="296">
        <v>104600</v>
      </c>
      <c r="Q191" s="296">
        <v>93176.006999999998</v>
      </c>
      <c r="R191" s="230">
        <v>104600</v>
      </c>
      <c r="S191" s="230">
        <v>4837</v>
      </c>
      <c r="T191" s="230">
        <v>4837</v>
      </c>
      <c r="U191" s="230">
        <v>3972.2779999999998</v>
      </c>
      <c r="V191" s="230">
        <v>4837</v>
      </c>
      <c r="W191" s="230"/>
      <c r="X191" s="230"/>
      <c r="Y191" s="230"/>
      <c r="Z191" s="230"/>
      <c r="AA191" s="230"/>
      <c r="AB191" s="230"/>
      <c r="AC191" s="230">
        <v>30.867000000000001</v>
      </c>
      <c r="AD191" s="230"/>
      <c r="AE191" s="230"/>
      <c r="AF191" s="230"/>
      <c r="AG191" s="230">
        <v>18.062000000000001</v>
      </c>
      <c r="AH191" s="230"/>
      <c r="AI191" s="224">
        <f t="shared" si="17"/>
        <v>114687</v>
      </c>
      <c r="AJ191" s="224">
        <f t="shared" si="18"/>
        <v>114687</v>
      </c>
      <c r="AK191" s="224">
        <f t="shared" si="19"/>
        <v>102595.031</v>
      </c>
      <c r="AL191" s="224">
        <f t="shared" si="15"/>
        <v>114687</v>
      </c>
      <c r="AM191" s="225">
        <f t="shared" si="16"/>
        <v>109437</v>
      </c>
    </row>
    <row r="192" spans="1:39" s="261" customFormat="1" ht="27.75" hidden="1" customHeight="1" x14ac:dyDescent="0.2">
      <c r="A192" s="234" t="s">
        <v>336</v>
      </c>
      <c r="B192" s="308"/>
      <c r="C192" s="1066"/>
      <c r="D192" s="1066"/>
      <c r="E192" s="1066"/>
      <c r="F192" s="279"/>
      <c r="G192" s="279"/>
      <c r="H192" s="279"/>
      <c r="I192" s="279"/>
      <c r="J192" s="283"/>
      <c r="K192" s="283"/>
      <c r="L192" s="283"/>
      <c r="M192" s="283"/>
      <c r="N192" s="283"/>
      <c r="O192" s="283"/>
      <c r="P192" s="283"/>
      <c r="Q192" s="283">
        <v>1068.7439999999999</v>
      </c>
      <c r="R192" s="280"/>
      <c r="S192" s="280"/>
      <c r="T192" s="280"/>
      <c r="U192" s="280">
        <v>2004.2059999999999</v>
      </c>
      <c r="V192" s="280"/>
      <c r="W192" s="280"/>
      <c r="X192" s="280"/>
      <c r="Y192" s="280"/>
      <c r="Z192" s="280"/>
      <c r="AA192" s="280"/>
      <c r="AB192" s="280"/>
      <c r="AC192" s="280"/>
      <c r="AD192" s="280"/>
      <c r="AE192" s="280"/>
      <c r="AF192" s="280"/>
      <c r="AG192" s="280"/>
      <c r="AH192" s="280"/>
      <c r="AI192" s="224">
        <f t="shared" si="17"/>
        <v>0</v>
      </c>
      <c r="AJ192" s="224">
        <f t="shared" si="18"/>
        <v>0</v>
      </c>
      <c r="AK192" s="224">
        <f t="shared" si="19"/>
        <v>3072.95</v>
      </c>
      <c r="AL192" s="224">
        <f t="shared" si="15"/>
        <v>0</v>
      </c>
      <c r="AM192" s="225">
        <f t="shared" si="16"/>
        <v>0</v>
      </c>
    </row>
    <row r="193" spans="1:39" s="282" customFormat="1" ht="27.75" customHeight="1" x14ac:dyDescent="0.2">
      <c r="A193" s="315" t="s">
        <v>1110</v>
      </c>
      <c r="B193" s="310"/>
      <c r="C193" s="1068">
        <v>4500</v>
      </c>
      <c r="D193" s="1068">
        <v>4500</v>
      </c>
      <c r="E193" s="1068">
        <v>4341.192</v>
      </c>
      <c r="F193" s="316">
        <v>4500</v>
      </c>
      <c r="G193" s="279">
        <v>0</v>
      </c>
      <c r="H193" s="279">
        <v>0</v>
      </c>
      <c r="I193" s="279">
        <v>0</v>
      </c>
      <c r="J193" s="279">
        <v>0</v>
      </c>
      <c r="K193" s="279"/>
      <c r="L193" s="279"/>
      <c r="M193" s="279"/>
      <c r="N193" s="279">
        <v>0</v>
      </c>
      <c r="O193" s="279"/>
      <c r="P193" s="279"/>
      <c r="Q193" s="279"/>
      <c r="R193" s="279">
        <v>0</v>
      </c>
      <c r="S193" s="279"/>
      <c r="T193" s="279"/>
      <c r="U193" s="279"/>
      <c r="V193" s="279">
        <v>0</v>
      </c>
      <c r="W193" s="279"/>
      <c r="X193" s="279"/>
      <c r="Y193" s="279"/>
      <c r="Z193" s="279">
        <v>0</v>
      </c>
      <c r="AA193" s="279"/>
      <c r="AB193" s="279"/>
      <c r="AC193" s="279">
        <v>0</v>
      </c>
      <c r="AD193" s="279">
        <v>0</v>
      </c>
      <c r="AE193" s="279"/>
      <c r="AF193" s="279"/>
      <c r="AG193" s="279"/>
      <c r="AH193" s="279">
        <v>0</v>
      </c>
      <c r="AI193" s="224">
        <f t="shared" si="17"/>
        <v>4500</v>
      </c>
      <c r="AJ193" s="224">
        <f t="shared" si="18"/>
        <v>4500</v>
      </c>
      <c r="AK193" s="224">
        <f t="shared" si="19"/>
        <v>4341.192</v>
      </c>
      <c r="AL193" s="224">
        <f t="shared" si="15"/>
        <v>4500</v>
      </c>
      <c r="AM193" s="225">
        <f t="shared" si="16"/>
        <v>0</v>
      </c>
    </row>
    <row r="194" spans="1:39" s="261" customFormat="1" ht="27" hidden="1" customHeight="1" x14ac:dyDescent="0.2">
      <c r="A194" s="234" t="s">
        <v>337</v>
      </c>
      <c r="B194" s="308"/>
      <c r="C194" s="1066"/>
      <c r="D194" s="1066"/>
      <c r="E194" s="1066"/>
      <c r="F194" s="279"/>
      <c r="G194" s="279"/>
      <c r="H194" s="279"/>
      <c r="I194" s="279"/>
      <c r="J194" s="283"/>
      <c r="K194" s="283"/>
      <c r="L194" s="283"/>
      <c r="M194" s="283"/>
      <c r="N194" s="280"/>
      <c r="O194" s="280"/>
      <c r="P194" s="280"/>
      <c r="Q194" s="280"/>
      <c r="R194" s="280"/>
      <c r="S194" s="280"/>
      <c r="T194" s="280"/>
      <c r="U194" s="280"/>
      <c r="V194" s="280"/>
      <c r="W194" s="280"/>
      <c r="X194" s="280"/>
      <c r="Y194" s="280"/>
      <c r="Z194" s="280"/>
      <c r="AA194" s="280"/>
      <c r="AB194" s="280"/>
      <c r="AC194" s="280"/>
      <c r="AD194" s="280"/>
      <c r="AE194" s="280"/>
      <c r="AF194" s="280"/>
      <c r="AG194" s="280"/>
      <c r="AH194" s="280"/>
      <c r="AI194" s="224">
        <f t="shared" si="17"/>
        <v>0</v>
      </c>
      <c r="AJ194" s="224">
        <f t="shared" si="18"/>
        <v>0</v>
      </c>
      <c r="AK194" s="224">
        <f t="shared" si="19"/>
        <v>0</v>
      </c>
      <c r="AL194" s="224">
        <f t="shared" si="15"/>
        <v>0</v>
      </c>
      <c r="AM194" s="225">
        <f t="shared" si="16"/>
        <v>0</v>
      </c>
    </row>
    <row r="195" spans="1:39" s="261" customFormat="1" ht="30" hidden="1" customHeight="1" x14ac:dyDescent="0.2">
      <c r="A195" s="234" t="s">
        <v>338</v>
      </c>
      <c r="B195" s="308"/>
      <c r="C195" s="1066"/>
      <c r="D195" s="1066"/>
      <c r="E195" s="1066"/>
      <c r="F195" s="283">
        <v>4500</v>
      </c>
      <c r="G195" s="283"/>
      <c r="H195" s="283"/>
      <c r="I195" s="283"/>
      <c r="J195" s="283"/>
      <c r="K195" s="283"/>
      <c r="L195" s="283"/>
      <c r="M195" s="283"/>
      <c r="N195" s="280"/>
      <c r="O195" s="280"/>
      <c r="P195" s="280"/>
      <c r="Q195" s="280"/>
      <c r="R195" s="280"/>
      <c r="S195" s="280"/>
      <c r="T195" s="280"/>
      <c r="U195" s="280"/>
      <c r="V195" s="280"/>
      <c r="W195" s="280"/>
      <c r="X195" s="280"/>
      <c r="Y195" s="280"/>
      <c r="Z195" s="280"/>
      <c r="AA195" s="280"/>
      <c r="AB195" s="280"/>
      <c r="AC195" s="280"/>
      <c r="AD195" s="280"/>
      <c r="AE195" s="280"/>
      <c r="AF195" s="280"/>
      <c r="AG195" s="280"/>
      <c r="AH195" s="280"/>
      <c r="AI195" s="224">
        <f t="shared" si="17"/>
        <v>0</v>
      </c>
      <c r="AJ195" s="224">
        <f t="shared" si="18"/>
        <v>0</v>
      </c>
      <c r="AK195" s="224">
        <f t="shared" si="19"/>
        <v>0</v>
      </c>
      <c r="AL195" s="224">
        <f t="shared" si="15"/>
        <v>4500</v>
      </c>
      <c r="AM195" s="225">
        <f t="shared" si="16"/>
        <v>0</v>
      </c>
    </row>
    <row r="196" spans="1:39" s="261" customFormat="1" ht="27.75" hidden="1" customHeight="1" x14ac:dyDescent="0.2">
      <c r="A196" s="234" t="s">
        <v>339</v>
      </c>
      <c r="B196" s="308"/>
      <c r="C196" s="1066"/>
      <c r="D196" s="1066"/>
      <c r="E196" s="1066"/>
      <c r="F196" s="241"/>
      <c r="G196" s="241"/>
      <c r="H196" s="241"/>
      <c r="I196" s="241"/>
      <c r="J196" s="280"/>
      <c r="K196" s="280"/>
      <c r="L196" s="280"/>
      <c r="M196" s="280"/>
      <c r="N196" s="280"/>
      <c r="O196" s="280"/>
      <c r="P196" s="280"/>
      <c r="Q196" s="280"/>
      <c r="R196" s="280"/>
      <c r="S196" s="280"/>
      <c r="T196" s="280"/>
      <c r="U196" s="280"/>
      <c r="V196" s="280"/>
      <c r="W196" s="280"/>
      <c r="X196" s="280"/>
      <c r="Y196" s="280"/>
      <c r="Z196" s="280"/>
      <c r="AA196" s="280"/>
      <c r="AB196" s="280"/>
      <c r="AC196" s="280"/>
      <c r="AD196" s="280"/>
      <c r="AE196" s="280"/>
      <c r="AF196" s="280"/>
      <c r="AG196" s="280"/>
      <c r="AH196" s="280"/>
      <c r="AI196" s="224">
        <f t="shared" si="17"/>
        <v>0</v>
      </c>
      <c r="AJ196" s="224">
        <f t="shared" si="18"/>
        <v>0</v>
      </c>
      <c r="AK196" s="224">
        <f t="shared" si="19"/>
        <v>0</v>
      </c>
      <c r="AL196" s="224">
        <f t="shared" ref="AL196:AL259" si="21">F196+J196+N196+R196+V196+Z196+AD196+AH196</f>
        <v>0</v>
      </c>
      <c r="AM196" s="225">
        <f t="shared" ref="AM196:AM259" si="22">J196+N196+R196+V196+Z196+AD196+AH196</f>
        <v>0</v>
      </c>
    </row>
    <row r="197" spans="1:39" s="261" customFormat="1" ht="25.5" hidden="1" customHeight="1" x14ac:dyDescent="0.2">
      <c r="A197" s="234" t="s">
        <v>340</v>
      </c>
      <c r="B197" s="308"/>
      <c r="C197" s="1066"/>
      <c r="D197" s="1066"/>
      <c r="E197" s="1066"/>
      <c r="F197" s="283"/>
      <c r="G197" s="283"/>
      <c r="H197" s="283"/>
      <c r="I197" s="283"/>
      <c r="J197" s="283"/>
      <c r="K197" s="283"/>
      <c r="L197" s="283"/>
      <c r="M197" s="283"/>
      <c r="N197" s="283"/>
      <c r="O197" s="283"/>
      <c r="P197" s="283"/>
      <c r="Q197" s="283"/>
      <c r="R197" s="280"/>
      <c r="S197" s="280"/>
      <c r="T197" s="280"/>
      <c r="U197" s="280"/>
      <c r="V197" s="280"/>
      <c r="W197" s="280"/>
      <c r="X197" s="280"/>
      <c r="Y197" s="280"/>
      <c r="Z197" s="280"/>
      <c r="AA197" s="280"/>
      <c r="AB197" s="280"/>
      <c r="AC197" s="280"/>
      <c r="AD197" s="280"/>
      <c r="AE197" s="280"/>
      <c r="AF197" s="280"/>
      <c r="AG197" s="280"/>
      <c r="AH197" s="280"/>
      <c r="AI197" s="224">
        <f t="shared" si="17"/>
        <v>0</v>
      </c>
      <c r="AJ197" s="224">
        <f t="shared" si="18"/>
        <v>0</v>
      </c>
      <c r="AK197" s="224">
        <f t="shared" si="19"/>
        <v>0</v>
      </c>
      <c r="AL197" s="224">
        <f t="shared" si="21"/>
        <v>0</v>
      </c>
      <c r="AM197" s="225">
        <f t="shared" si="22"/>
        <v>0</v>
      </c>
    </row>
    <row r="198" spans="1:39" s="261" customFormat="1" ht="29.25" hidden="1" customHeight="1" x14ac:dyDescent="0.2">
      <c r="A198" s="234" t="s">
        <v>341</v>
      </c>
      <c r="B198" s="308"/>
      <c r="C198" s="1066"/>
      <c r="D198" s="1066"/>
      <c r="E198" s="1066"/>
      <c r="F198" s="279"/>
      <c r="G198" s="279"/>
      <c r="H198" s="279"/>
      <c r="I198" s="279"/>
      <c r="J198" s="280"/>
      <c r="K198" s="280"/>
      <c r="L198" s="280"/>
      <c r="M198" s="280"/>
      <c r="N198" s="280"/>
      <c r="O198" s="280"/>
      <c r="P198" s="280"/>
      <c r="Q198" s="280"/>
      <c r="R198" s="280"/>
      <c r="S198" s="280"/>
      <c r="T198" s="280"/>
      <c r="U198" s="280"/>
      <c r="V198" s="280"/>
      <c r="W198" s="280"/>
      <c r="X198" s="280"/>
      <c r="Y198" s="280"/>
      <c r="Z198" s="280"/>
      <c r="AA198" s="280"/>
      <c r="AB198" s="280"/>
      <c r="AC198" s="280"/>
      <c r="AD198" s="280"/>
      <c r="AE198" s="280"/>
      <c r="AF198" s="280"/>
      <c r="AG198" s="280"/>
      <c r="AH198" s="280"/>
      <c r="AI198" s="224">
        <f t="shared" si="17"/>
        <v>0</v>
      </c>
      <c r="AJ198" s="224">
        <f t="shared" si="18"/>
        <v>0</v>
      </c>
      <c r="AK198" s="224">
        <f t="shared" si="19"/>
        <v>0</v>
      </c>
      <c r="AL198" s="224">
        <f t="shared" si="21"/>
        <v>0</v>
      </c>
      <c r="AM198" s="225">
        <f t="shared" si="22"/>
        <v>0</v>
      </c>
    </row>
    <row r="199" spans="1:39" s="261" customFormat="1" ht="20.100000000000001" hidden="1" customHeight="1" x14ac:dyDescent="0.2">
      <c r="A199" s="234" t="s">
        <v>342</v>
      </c>
      <c r="B199" s="308"/>
      <c r="C199" s="1066"/>
      <c r="D199" s="1066"/>
      <c r="E199" s="1066"/>
      <c r="F199" s="279"/>
      <c r="G199" s="279"/>
      <c r="H199" s="279"/>
      <c r="I199" s="279"/>
      <c r="J199" s="280"/>
      <c r="K199" s="280"/>
      <c r="L199" s="280"/>
      <c r="M199" s="280"/>
      <c r="N199" s="280"/>
      <c r="O199" s="280"/>
      <c r="P199" s="280"/>
      <c r="Q199" s="280"/>
      <c r="R199" s="280"/>
      <c r="S199" s="280"/>
      <c r="T199" s="280"/>
      <c r="U199" s="280"/>
      <c r="V199" s="280"/>
      <c r="W199" s="280"/>
      <c r="X199" s="280"/>
      <c r="Y199" s="280"/>
      <c r="Z199" s="280"/>
      <c r="AA199" s="280"/>
      <c r="AB199" s="280"/>
      <c r="AC199" s="280"/>
      <c r="AD199" s="280"/>
      <c r="AE199" s="280"/>
      <c r="AF199" s="280"/>
      <c r="AG199" s="280"/>
      <c r="AH199" s="280"/>
      <c r="AI199" s="224">
        <f t="shared" si="17"/>
        <v>0</v>
      </c>
      <c r="AJ199" s="224">
        <f t="shared" si="18"/>
        <v>0</v>
      </c>
      <c r="AK199" s="224">
        <f t="shared" si="19"/>
        <v>0</v>
      </c>
      <c r="AL199" s="224">
        <f t="shared" si="21"/>
        <v>0</v>
      </c>
      <c r="AM199" s="225">
        <f t="shared" si="22"/>
        <v>0</v>
      </c>
    </row>
    <row r="200" spans="1:39" s="311" customFormat="1" ht="20.100000000000001" customHeight="1" x14ac:dyDescent="0.2">
      <c r="A200" s="227" t="s">
        <v>343</v>
      </c>
      <c r="B200" s="310"/>
      <c r="C200" s="1068"/>
      <c r="D200" s="1068"/>
      <c r="E200" s="1068"/>
      <c r="F200" s="296"/>
      <c r="G200" s="296"/>
      <c r="H200" s="296"/>
      <c r="I200" s="296"/>
      <c r="J200" s="296"/>
      <c r="K200" s="296"/>
      <c r="L200" s="296"/>
      <c r="M200" s="296"/>
      <c r="N200" s="296"/>
      <c r="O200" s="296">
        <v>50000</v>
      </c>
      <c r="P200" s="296">
        <v>50000</v>
      </c>
      <c r="Q200" s="296">
        <v>60944.506000000001</v>
      </c>
      <c r="R200" s="296">
        <v>50000</v>
      </c>
      <c r="S200" s="296">
        <v>23320</v>
      </c>
      <c r="T200" s="296">
        <v>23320</v>
      </c>
      <c r="U200" s="296">
        <v>16438.842000000001</v>
      </c>
      <c r="V200" s="296">
        <v>23320</v>
      </c>
      <c r="W200" s="296">
        <v>20220</v>
      </c>
      <c r="X200" s="296">
        <v>20220</v>
      </c>
      <c r="Y200" s="296">
        <v>20637.647000000001</v>
      </c>
      <c r="Z200" s="296">
        <v>20220</v>
      </c>
      <c r="AA200" s="296">
        <v>44595</v>
      </c>
      <c r="AB200" s="296">
        <v>44595</v>
      </c>
      <c r="AC200" s="296">
        <v>33248.724000000002</v>
      </c>
      <c r="AD200" s="296">
        <v>44595</v>
      </c>
      <c r="AE200" s="296"/>
      <c r="AF200" s="296"/>
      <c r="AG200" s="296"/>
      <c r="AH200" s="230"/>
      <c r="AI200" s="224">
        <f t="shared" ref="AI200:AI263" si="23">C200+G200+K200+O200+S200+W200+AA200+AE200</f>
        <v>138135</v>
      </c>
      <c r="AJ200" s="224">
        <f t="shared" ref="AJ200:AJ263" si="24">D200+H200+L200+P200+T200+X200+AB200+AF200</f>
        <v>138135</v>
      </c>
      <c r="AK200" s="224">
        <f t="shared" ref="AK200:AK263" si="25">E200+I200+M200+Q200+U200+Y200+AC200+AG200</f>
        <v>131269.71899999998</v>
      </c>
      <c r="AL200" s="224">
        <f t="shared" si="21"/>
        <v>138135</v>
      </c>
      <c r="AM200" s="225">
        <f t="shared" si="22"/>
        <v>138135</v>
      </c>
    </row>
    <row r="201" spans="1:39" s="311" customFormat="1" ht="20.100000000000001" customHeight="1" x14ac:dyDescent="0.2">
      <c r="A201" s="227" t="s">
        <v>344</v>
      </c>
      <c r="B201" s="310"/>
      <c r="C201" s="1068">
        <v>391500</v>
      </c>
      <c r="D201" s="1068">
        <v>391500</v>
      </c>
      <c r="E201" s="1068">
        <v>249373.476</v>
      </c>
      <c r="F201" s="316">
        <v>391500</v>
      </c>
      <c r="G201" s="316">
        <v>2160</v>
      </c>
      <c r="H201" s="316">
        <v>2160</v>
      </c>
      <c r="I201" s="316">
        <v>2831.7240000000002</v>
      </c>
      <c r="J201" s="1069">
        <v>2160</v>
      </c>
      <c r="K201" s="1069">
        <v>1879</v>
      </c>
      <c r="L201" s="1069">
        <v>1879</v>
      </c>
      <c r="M201" s="1069">
        <v>1362.644</v>
      </c>
      <c r="N201" s="1069">
        <v>1879</v>
      </c>
      <c r="O201" s="1069">
        <v>249661</v>
      </c>
      <c r="P201" s="1069">
        <v>249661</v>
      </c>
      <c r="Q201" s="1069">
        <v>254630.00700000001</v>
      </c>
      <c r="R201" s="296">
        <v>249661</v>
      </c>
      <c r="S201" s="296">
        <v>7602</v>
      </c>
      <c r="T201" s="296">
        <v>7602</v>
      </c>
      <c r="U201" s="296">
        <v>5510.9480000000003</v>
      </c>
      <c r="V201" s="296">
        <v>7602</v>
      </c>
      <c r="W201" s="296">
        <v>2209</v>
      </c>
      <c r="X201" s="296">
        <v>2209</v>
      </c>
      <c r="Y201" s="296">
        <v>2262.665</v>
      </c>
      <c r="Z201" s="296">
        <v>2209</v>
      </c>
      <c r="AA201" s="296">
        <v>9374</v>
      </c>
      <c r="AB201" s="296">
        <v>9374</v>
      </c>
      <c r="AC201" s="296">
        <v>6366.9939999999997</v>
      </c>
      <c r="AD201" s="296">
        <v>9374</v>
      </c>
      <c r="AE201" s="296"/>
      <c r="AF201" s="296"/>
      <c r="AG201" s="296">
        <v>4.8769999999999998</v>
      </c>
      <c r="AH201" s="230"/>
      <c r="AI201" s="224">
        <f t="shared" si="23"/>
        <v>664385</v>
      </c>
      <c r="AJ201" s="224">
        <f t="shared" si="24"/>
        <v>664385</v>
      </c>
      <c r="AK201" s="224">
        <f t="shared" si="25"/>
        <v>522343.33499999996</v>
      </c>
      <c r="AL201" s="224">
        <f t="shared" si="21"/>
        <v>664385</v>
      </c>
      <c r="AM201" s="225">
        <f t="shared" si="22"/>
        <v>272885</v>
      </c>
    </row>
    <row r="202" spans="1:39" s="311" customFormat="1" ht="20.100000000000001" customHeight="1" x14ac:dyDescent="0.2">
      <c r="A202" s="227" t="s">
        <v>345</v>
      </c>
      <c r="B202" s="310"/>
      <c r="C202" s="310"/>
      <c r="D202" s="310"/>
      <c r="E202" s="310"/>
      <c r="F202" s="241"/>
      <c r="G202" s="241"/>
      <c r="H202" s="241"/>
      <c r="I202" s="241"/>
      <c r="J202" s="296"/>
      <c r="K202" s="296"/>
      <c r="L202" s="296"/>
      <c r="M202" s="296">
        <v>109.795</v>
      </c>
      <c r="N202" s="296"/>
      <c r="O202" s="296"/>
      <c r="P202" s="296"/>
      <c r="Q202" s="296"/>
      <c r="R202" s="296"/>
      <c r="S202" s="296"/>
      <c r="T202" s="296"/>
      <c r="U202" s="296">
        <v>7322</v>
      </c>
      <c r="V202" s="296"/>
      <c r="W202" s="296"/>
      <c r="X202" s="296"/>
      <c r="Y202" s="296">
        <v>594</v>
      </c>
      <c r="Z202" s="296"/>
      <c r="AA202" s="296"/>
      <c r="AB202" s="296"/>
      <c r="AC202" s="296">
        <v>6831</v>
      </c>
      <c r="AD202" s="296"/>
      <c r="AE202" s="296"/>
      <c r="AF202" s="296"/>
      <c r="AG202" s="296"/>
      <c r="AH202" s="230"/>
      <c r="AI202" s="224">
        <f t="shared" si="23"/>
        <v>0</v>
      </c>
      <c r="AJ202" s="224">
        <f t="shared" si="24"/>
        <v>0</v>
      </c>
      <c r="AK202" s="224">
        <f t="shared" si="25"/>
        <v>14856.795</v>
      </c>
      <c r="AL202" s="224">
        <f t="shared" si="21"/>
        <v>0</v>
      </c>
      <c r="AM202" s="225">
        <f t="shared" si="22"/>
        <v>0</v>
      </c>
    </row>
    <row r="203" spans="1:39" s="282" customFormat="1" ht="27" customHeight="1" x14ac:dyDescent="0.2">
      <c r="A203" s="1070" t="s">
        <v>1111</v>
      </c>
      <c r="B203" s="308"/>
      <c r="C203" s="1066">
        <v>0</v>
      </c>
      <c r="D203" s="1066">
        <v>0</v>
      </c>
      <c r="E203" s="308"/>
      <c r="F203" s="279">
        <v>0</v>
      </c>
      <c r="G203" s="279"/>
      <c r="H203" s="279"/>
      <c r="I203" s="279"/>
      <c r="J203" s="279">
        <v>0</v>
      </c>
      <c r="K203" s="279"/>
      <c r="L203" s="279"/>
      <c r="M203" s="279"/>
      <c r="N203" s="279">
        <v>0</v>
      </c>
      <c r="O203" s="279"/>
      <c r="P203" s="279"/>
      <c r="Q203" s="279"/>
      <c r="R203" s="279">
        <v>0</v>
      </c>
      <c r="S203" s="279"/>
      <c r="T203" s="279"/>
      <c r="U203" s="279"/>
      <c r="V203" s="279">
        <v>0</v>
      </c>
      <c r="W203" s="279">
        <v>0</v>
      </c>
      <c r="X203" s="279">
        <v>0</v>
      </c>
      <c r="Y203" s="279">
        <v>0</v>
      </c>
      <c r="Z203" s="279">
        <v>0</v>
      </c>
      <c r="AA203" s="279"/>
      <c r="AB203" s="279"/>
      <c r="AC203" s="279">
        <v>0</v>
      </c>
      <c r="AD203" s="279">
        <v>0</v>
      </c>
      <c r="AE203" s="279"/>
      <c r="AF203" s="279"/>
      <c r="AG203" s="279"/>
      <c r="AH203" s="279">
        <v>0</v>
      </c>
      <c r="AI203" s="224">
        <f t="shared" si="23"/>
        <v>0</v>
      </c>
      <c r="AJ203" s="224">
        <f t="shared" si="24"/>
        <v>0</v>
      </c>
      <c r="AK203" s="224">
        <f t="shared" si="25"/>
        <v>0</v>
      </c>
      <c r="AL203" s="224">
        <f t="shared" si="21"/>
        <v>0</v>
      </c>
      <c r="AM203" s="225">
        <f t="shared" si="22"/>
        <v>0</v>
      </c>
    </row>
    <row r="204" spans="1:39" s="261" customFormat="1" ht="20.100000000000001" hidden="1" customHeight="1" x14ac:dyDescent="0.2">
      <c r="A204" s="234" t="s">
        <v>346</v>
      </c>
      <c r="B204" s="308"/>
      <c r="C204" s="1066"/>
      <c r="D204" s="1066"/>
      <c r="E204" s="308"/>
      <c r="F204" s="279"/>
      <c r="G204" s="279"/>
      <c r="H204" s="279"/>
      <c r="I204" s="279"/>
      <c r="J204" s="280"/>
      <c r="K204" s="280"/>
      <c r="L204" s="280"/>
      <c r="M204" s="280"/>
      <c r="N204" s="280"/>
      <c r="O204" s="280"/>
      <c r="P204" s="280"/>
      <c r="Q204" s="280"/>
      <c r="R204" s="280"/>
      <c r="S204" s="280"/>
      <c r="T204" s="280"/>
      <c r="U204" s="280"/>
      <c r="V204" s="280"/>
      <c r="W204" s="280"/>
      <c r="X204" s="280"/>
      <c r="Y204" s="280"/>
      <c r="Z204" s="280"/>
      <c r="AA204" s="280"/>
      <c r="AB204" s="280"/>
      <c r="AC204" s="280"/>
      <c r="AD204" s="280"/>
      <c r="AE204" s="280"/>
      <c r="AF204" s="280"/>
      <c r="AG204" s="280"/>
      <c r="AH204" s="280"/>
      <c r="AI204" s="224">
        <f t="shared" si="23"/>
        <v>0</v>
      </c>
      <c r="AJ204" s="224">
        <f t="shared" si="24"/>
        <v>0</v>
      </c>
      <c r="AK204" s="224">
        <f t="shared" si="25"/>
        <v>0</v>
      </c>
      <c r="AL204" s="224">
        <f t="shared" si="21"/>
        <v>0</v>
      </c>
      <c r="AM204" s="225">
        <f t="shared" si="22"/>
        <v>0</v>
      </c>
    </row>
    <row r="205" spans="1:39" s="261" customFormat="1" ht="30.75" hidden="1" customHeight="1" x14ac:dyDescent="0.2">
      <c r="A205" s="234" t="s">
        <v>347</v>
      </c>
      <c r="B205" s="308"/>
      <c r="C205" s="1066"/>
      <c r="D205" s="1066"/>
      <c r="E205" s="308"/>
      <c r="F205" s="355"/>
      <c r="G205" s="355"/>
      <c r="H205" s="355"/>
      <c r="I205" s="355"/>
      <c r="J205" s="283"/>
      <c r="K205" s="283"/>
      <c r="L205" s="283"/>
      <c r="M205" s="283"/>
      <c r="N205" s="237"/>
      <c r="O205" s="237"/>
      <c r="P205" s="237"/>
      <c r="Q205" s="237"/>
      <c r="R205" s="280"/>
      <c r="S205" s="280"/>
      <c r="T205" s="280"/>
      <c r="U205" s="280"/>
      <c r="V205" s="280"/>
      <c r="W205" s="280"/>
      <c r="X205" s="280"/>
      <c r="Y205" s="280"/>
      <c r="Z205" s="280"/>
      <c r="AA205" s="280"/>
      <c r="AB205" s="280"/>
      <c r="AC205" s="280"/>
      <c r="AD205" s="280"/>
      <c r="AE205" s="280"/>
      <c r="AF205" s="280"/>
      <c r="AG205" s="280"/>
      <c r="AH205" s="280"/>
      <c r="AI205" s="224">
        <f t="shared" si="23"/>
        <v>0</v>
      </c>
      <c r="AJ205" s="224">
        <f t="shared" si="24"/>
        <v>0</v>
      </c>
      <c r="AK205" s="224">
        <f t="shared" si="25"/>
        <v>0</v>
      </c>
      <c r="AL205" s="224">
        <f t="shared" si="21"/>
        <v>0</v>
      </c>
      <c r="AM205" s="225">
        <f t="shared" si="22"/>
        <v>0</v>
      </c>
    </row>
    <row r="206" spans="1:39" s="312" customFormat="1" ht="30" customHeight="1" x14ac:dyDescent="0.2">
      <c r="A206" s="531" t="s">
        <v>1112</v>
      </c>
      <c r="B206" s="308"/>
      <c r="C206" s="1066">
        <v>14000</v>
      </c>
      <c r="D206" s="1066">
        <v>14000</v>
      </c>
      <c r="E206" s="308">
        <v>320299.11900000001</v>
      </c>
      <c r="F206" s="355">
        <v>14000</v>
      </c>
      <c r="G206" s="355"/>
      <c r="H206" s="355">
        <v>0</v>
      </c>
      <c r="I206" s="355">
        <v>69.444999999999993</v>
      </c>
      <c r="J206" s="355">
        <v>0</v>
      </c>
      <c r="K206" s="355">
        <v>60</v>
      </c>
      <c r="L206" s="355">
        <v>60</v>
      </c>
      <c r="M206" s="355">
        <v>55.98</v>
      </c>
      <c r="N206" s="355">
        <v>60</v>
      </c>
      <c r="O206" s="355">
        <v>100</v>
      </c>
      <c r="P206" s="355">
        <v>100</v>
      </c>
      <c r="Q206" s="355">
        <v>106.42100000000001</v>
      </c>
      <c r="R206" s="355">
        <v>100</v>
      </c>
      <c r="S206" s="355">
        <v>0</v>
      </c>
      <c r="T206" s="355">
        <v>0</v>
      </c>
      <c r="U206" s="355">
        <v>17.257000000000001</v>
      </c>
      <c r="V206" s="355">
        <v>0</v>
      </c>
      <c r="W206" s="355"/>
      <c r="X206" s="355"/>
      <c r="Y206" s="355">
        <v>6</v>
      </c>
      <c r="Z206" s="355">
        <v>0</v>
      </c>
      <c r="AA206" s="355"/>
      <c r="AB206" s="355"/>
      <c r="AC206" s="355">
        <v>7.7270000000000003</v>
      </c>
      <c r="AD206" s="355">
        <v>0</v>
      </c>
      <c r="AE206" s="355"/>
      <c r="AF206" s="355"/>
      <c r="AG206" s="355">
        <v>1.9339999999999999</v>
      </c>
      <c r="AH206" s="355">
        <v>0</v>
      </c>
      <c r="AI206" s="224">
        <f t="shared" si="23"/>
        <v>14160</v>
      </c>
      <c r="AJ206" s="224">
        <f t="shared" si="24"/>
        <v>14160</v>
      </c>
      <c r="AK206" s="224">
        <f t="shared" si="25"/>
        <v>320563.88299999997</v>
      </c>
      <c r="AL206" s="224">
        <f t="shared" si="21"/>
        <v>14160</v>
      </c>
      <c r="AM206" s="225">
        <f t="shared" si="22"/>
        <v>160</v>
      </c>
    </row>
    <row r="207" spans="1:39" s="261" customFormat="1" ht="20.100000000000001" hidden="1" customHeight="1" x14ac:dyDescent="0.2">
      <c r="A207" s="234" t="s">
        <v>348</v>
      </c>
      <c r="B207" s="308"/>
      <c r="C207" s="1066"/>
      <c r="D207" s="1066"/>
      <c r="E207" s="308"/>
      <c r="F207" s="283"/>
      <c r="G207" s="283"/>
      <c r="H207" s="283"/>
      <c r="I207" s="283"/>
      <c r="J207" s="241"/>
      <c r="K207" s="241"/>
      <c r="L207" s="241"/>
      <c r="M207" s="241"/>
      <c r="N207" s="283"/>
      <c r="O207" s="283"/>
      <c r="P207" s="283"/>
      <c r="Q207" s="283"/>
      <c r="R207" s="280"/>
      <c r="S207" s="280"/>
      <c r="T207" s="280"/>
      <c r="U207" s="280"/>
      <c r="V207" s="280"/>
      <c r="W207" s="280"/>
      <c r="X207" s="280"/>
      <c r="Y207" s="280"/>
      <c r="Z207" s="280"/>
      <c r="AA207" s="280"/>
      <c r="AB207" s="280"/>
      <c r="AC207" s="280"/>
      <c r="AD207" s="280"/>
      <c r="AE207" s="280"/>
      <c r="AF207" s="280"/>
      <c r="AG207" s="280"/>
      <c r="AH207" s="280"/>
      <c r="AI207" s="224">
        <f t="shared" si="23"/>
        <v>0</v>
      </c>
      <c r="AJ207" s="224">
        <f t="shared" si="24"/>
        <v>0</v>
      </c>
      <c r="AK207" s="224">
        <f t="shared" si="25"/>
        <v>0</v>
      </c>
      <c r="AL207" s="224">
        <f t="shared" si="21"/>
        <v>0</v>
      </c>
      <c r="AM207" s="225">
        <f t="shared" si="22"/>
        <v>0</v>
      </c>
    </row>
    <row r="208" spans="1:39" s="261" customFormat="1" ht="20.100000000000001" hidden="1" customHeight="1" x14ac:dyDescent="0.2">
      <c r="A208" s="234" t="s">
        <v>349</v>
      </c>
      <c r="B208" s="308"/>
      <c r="C208" s="1066"/>
      <c r="D208" s="1066"/>
      <c r="E208" s="308"/>
      <c r="F208" s="279"/>
      <c r="G208" s="279"/>
      <c r="H208" s="279"/>
      <c r="I208" s="279"/>
      <c r="J208" s="280"/>
      <c r="K208" s="280"/>
      <c r="L208" s="280"/>
      <c r="M208" s="280"/>
      <c r="N208" s="283"/>
      <c r="O208" s="283"/>
      <c r="P208" s="283"/>
      <c r="Q208" s="283"/>
      <c r="R208" s="280"/>
      <c r="S208" s="280"/>
      <c r="T208" s="280"/>
      <c r="U208" s="280"/>
      <c r="V208" s="280"/>
      <c r="W208" s="280"/>
      <c r="X208" s="280"/>
      <c r="Y208" s="280"/>
      <c r="Z208" s="280"/>
      <c r="AA208" s="280"/>
      <c r="AB208" s="280"/>
      <c r="AC208" s="280"/>
      <c r="AD208" s="280"/>
      <c r="AE208" s="280"/>
      <c r="AF208" s="280"/>
      <c r="AG208" s="280"/>
      <c r="AH208" s="280"/>
      <c r="AI208" s="224">
        <f t="shared" si="23"/>
        <v>0</v>
      </c>
      <c r="AJ208" s="224">
        <f t="shared" si="24"/>
        <v>0</v>
      </c>
      <c r="AK208" s="224">
        <f t="shared" si="25"/>
        <v>0</v>
      </c>
      <c r="AL208" s="224">
        <f t="shared" si="21"/>
        <v>0</v>
      </c>
      <c r="AM208" s="225">
        <f t="shared" si="22"/>
        <v>0</v>
      </c>
    </row>
    <row r="209" spans="1:39" s="314" customFormat="1" ht="27.75" customHeight="1" x14ac:dyDescent="0.2">
      <c r="A209" s="315" t="s">
        <v>1113</v>
      </c>
      <c r="B209" s="310"/>
      <c r="C209" s="1068">
        <f>+C203+C206</f>
        <v>14000</v>
      </c>
      <c r="D209" s="1068">
        <f>+D203+D206</f>
        <v>14000</v>
      </c>
      <c r="E209" s="310">
        <v>320299.11900000001</v>
      </c>
      <c r="F209" s="316">
        <v>14000</v>
      </c>
      <c r="G209" s="1068">
        <f t="shared" ref="G209:H209" si="26">+G203+G206</f>
        <v>0</v>
      </c>
      <c r="H209" s="1068">
        <f t="shared" si="26"/>
        <v>0</v>
      </c>
      <c r="I209" s="316">
        <v>69.444999999999993</v>
      </c>
      <c r="J209" s="1069">
        <v>0</v>
      </c>
      <c r="K209" s="1068">
        <f t="shared" ref="K209:L209" si="27">+K203+K206</f>
        <v>60</v>
      </c>
      <c r="L209" s="1068">
        <f t="shared" si="27"/>
        <v>60</v>
      </c>
      <c r="M209" s="1069">
        <v>55.98</v>
      </c>
      <c r="N209" s="1069">
        <v>60</v>
      </c>
      <c r="O209" s="1068">
        <f t="shared" ref="O209:P209" si="28">+O203+O206</f>
        <v>100</v>
      </c>
      <c r="P209" s="1068">
        <f t="shared" si="28"/>
        <v>100</v>
      </c>
      <c r="Q209" s="1069">
        <v>106.42100000000001</v>
      </c>
      <c r="R209" s="230">
        <v>100</v>
      </c>
      <c r="S209" s="1068">
        <f t="shared" ref="S209:T209" si="29">+S203+S206</f>
        <v>0</v>
      </c>
      <c r="T209" s="1068">
        <f t="shared" si="29"/>
        <v>0</v>
      </c>
      <c r="U209" s="230">
        <v>17.257000000000001</v>
      </c>
      <c r="V209" s="230">
        <v>0</v>
      </c>
      <c r="W209" s="1068">
        <f t="shared" ref="W209:X209" si="30">+W203+W206</f>
        <v>0</v>
      </c>
      <c r="X209" s="1068">
        <f t="shared" si="30"/>
        <v>0</v>
      </c>
      <c r="Y209" s="230">
        <v>6</v>
      </c>
      <c r="Z209" s="230">
        <v>0</v>
      </c>
      <c r="AA209" s="1068">
        <f t="shared" ref="AA209:AB209" si="31">+AA203+AA206</f>
        <v>0</v>
      </c>
      <c r="AB209" s="1068">
        <f t="shared" si="31"/>
        <v>0</v>
      </c>
      <c r="AC209" s="230">
        <v>7.7270000000000003</v>
      </c>
      <c r="AD209" s="230">
        <v>0</v>
      </c>
      <c r="AE209" s="1068">
        <f t="shared" ref="AE209:AF209" si="32">+AE203+AE206</f>
        <v>0</v>
      </c>
      <c r="AF209" s="1068">
        <f t="shared" si="32"/>
        <v>0</v>
      </c>
      <c r="AG209" s="230">
        <v>1.9339999999999999</v>
      </c>
      <c r="AH209" s="230">
        <v>0</v>
      </c>
      <c r="AI209" s="224">
        <f t="shared" si="23"/>
        <v>14160</v>
      </c>
      <c r="AJ209" s="224">
        <f t="shared" si="24"/>
        <v>14160</v>
      </c>
      <c r="AK209" s="224">
        <f t="shared" si="25"/>
        <v>320563.88299999997</v>
      </c>
      <c r="AL209" s="224">
        <f t="shared" si="21"/>
        <v>14160</v>
      </c>
      <c r="AM209" s="225">
        <f t="shared" si="22"/>
        <v>160</v>
      </c>
    </row>
    <row r="210" spans="1:39" s="311" customFormat="1" ht="27.75" hidden="1" customHeight="1" x14ac:dyDescent="0.2">
      <c r="A210" s="227" t="s">
        <v>350</v>
      </c>
      <c r="B210" s="310"/>
      <c r="C210" s="1068"/>
      <c r="D210" s="1068"/>
      <c r="E210" s="310"/>
      <c r="F210" s="296"/>
      <c r="G210" s="296"/>
      <c r="H210" s="296"/>
      <c r="I210" s="296"/>
      <c r="J210" s="296"/>
      <c r="K210" s="296"/>
      <c r="L210" s="296"/>
      <c r="M210" s="296"/>
      <c r="N210" s="296"/>
      <c r="O210" s="296"/>
      <c r="P210" s="296"/>
      <c r="Q210" s="296"/>
      <c r="R210" s="230"/>
      <c r="S210" s="230"/>
      <c r="T210" s="230"/>
      <c r="U210" s="230"/>
      <c r="V210" s="230"/>
      <c r="W210" s="230"/>
      <c r="X210" s="230"/>
      <c r="Y210" s="230"/>
      <c r="Z210" s="230"/>
      <c r="AA210" s="230"/>
      <c r="AB210" s="230"/>
      <c r="AC210" s="230"/>
      <c r="AD210" s="230"/>
      <c r="AE210" s="230"/>
      <c r="AF210" s="230"/>
      <c r="AG210" s="230"/>
      <c r="AH210" s="230"/>
      <c r="AI210" s="224">
        <f t="shared" si="23"/>
        <v>0</v>
      </c>
      <c r="AJ210" s="224">
        <f t="shared" si="24"/>
        <v>0</v>
      </c>
      <c r="AK210" s="224">
        <f t="shared" si="25"/>
        <v>0</v>
      </c>
      <c r="AL210" s="224">
        <f t="shared" si="21"/>
        <v>0</v>
      </c>
      <c r="AM210" s="225">
        <f t="shared" si="22"/>
        <v>0</v>
      </c>
    </row>
    <row r="211" spans="1:39" s="282" customFormat="1" ht="29.25" hidden="1" customHeight="1" x14ac:dyDescent="0.2">
      <c r="A211" s="232" t="s">
        <v>351</v>
      </c>
      <c r="B211" s="252"/>
      <c r="C211" s="1067">
        <v>2000</v>
      </c>
      <c r="D211" s="1067">
        <v>100</v>
      </c>
      <c r="E211" s="252">
        <v>102.09399999999999</v>
      </c>
      <c r="F211" s="281">
        <v>0</v>
      </c>
      <c r="G211" s="281"/>
      <c r="H211" s="281"/>
      <c r="I211" s="281"/>
      <c r="J211" s="281">
        <v>0</v>
      </c>
      <c r="K211" s="281"/>
      <c r="L211" s="281"/>
      <c r="M211" s="281"/>
      <c r="N211" s="281">
        <v>0</v>
      </c>
      <c r="O211" s="281"/>
      <c r="P211" s="281"/>
      <c r="Q211" s="281"/>
      <c r="R211" s="281">
        <v>0</v>
      </c>
      <c r="S211" s="281"/>
      <c r="T211" s="281"/>
      <c r="U211" s="281"/>
      <c r="V211" s="281">
        <v>0</v>
      </c>
      <c r="W211" s="281"/>
      <c r="X211" s="281"/>
      <c r="Y211" s="281"/>
      <c r="Z211" s="281">
        <v>0</v>
      </c>
      <c r="AA211" s="281"/>
      <c r="AB211" s="281"/>
      <c r="AC211" s="281"/>
      <c r="AD211" s="281">
        <v>0</v>
      </c>
      <c r="AE211" s="281"/>
      <c r="AF211" s="281"/>
      <c r="AG211" s="281"/>
      <c r="AH211" s="281">
        <v>0</v>
      </c>
      <c r="AI211" s="224">
        <f t="shared" si="23"/>
        <v>2000</v>
      </c>
      <c r="AJ211" s="224">
        <f t="shared" si="24"/>
        <v>100</v>
      </c>
      <c r="AK211" s="224">
        <f t="shared" si="25"/>
        <v>102.09399999999999</v>
      </c>
      <c r="AL211" s="224">
        <f t="shared" si="21"/>
        <v>0</v>
      </c>
      <c r="AM211" s="225">
        <f t="shared" si="22"/>
        <v>0</v>
      </c>
    </row>
    <row r="212" spans="1:39" s="261" customFormat="1" ht="30.75" hidden="1" customHeight="1" x14ac:dyDescent="0.2">
      <c r="A212" s="234" t="s">
        <v>352</v>
      </c>
      <c r="B212" s="308"/>
      <c r="C212" s="1066"/>
      <c r="D212" s="1066"/>
      <c r="E212" s="308"/>
      <c r="F212" s="279"/>
      <c r="G212" s="279"/>
      <c r="H212" s="279"/>
      <c r="I212" s="279"/>
      <c r="J212" s="283"/>
      <c r="K212" s="283"/>
      <c r="L212" s="283"/>
      <c r="M212" s="283"/>
      <c r="N212" s="280"/>
      <c r="O212" s="280"/>
      <c r="P212" s="280"/>
      <c r="Q212" s="280"/>
      <c r="R212" s="280"/>
      <c r="S212" s="280"/>
      <c r="T212" s="280"/>
      <c r="U212" s="280"/>
      <c r="V212" s="280"/>
      <c r="W212" s="280"/>
      <c r="X212" s="280"/>
      <c r="Y212" s="280"/>
      <c r="Z212" s="280"/>
      <c r="AA212" s="280"/>
      <c r="AB212" s="280"/>
      <c r="AC212" s="280"/>
      <c r="AD212" s="280"/>
      <c r="AE212" s="280"/>
      <c r="AF212" s="280"/>
      <c r="AG212" s="280"/>
      <c r="AH212" s="280"/>
      <c r="AI212" s="224">
        <f t="shared" si="23"/>
        <v>0</v>
      </c>
      <c r="AJ212" s="224">
        <f t="shared" si="24"/>
        <v>0</v>
      </c>
      <c r="AK212" s="224">
        <f t="shared" si="25"/>
        <v>0</v>
      </c>
      <c r="AL212" s="224">
        <f t="shared" si="21"/>
        <v>0</v>
      </c>
      <c r="AM212" s="225">
        <f t="shared" si="22"/>
        <v>0</v>
      </c>
    </row>
    <row r="213" spans="1:39" s="261" customFormat="1" ht="27.75" hidden="1" customHeight="1" x14ac:dyDescent="0.2">
      <c r="A213" s="234" t="s">
        <v>353</v>
      </c>
      <c r="B213" s="308"/>
      <c r="C213" s="1066"/>
      <c r="D213" s="1066"/>
      <c r="E213" s="308"/>
      <c r="F213" s="279"/>
      <c r="G213" s="279"/>
      <c r="H213" s="279"/>
      <c r="I213" s="279"/>
      <c r="J213" s="283"/>
      <c r="K213" s="283"/>
      <c r="L213" s="283"/>
      <c r="M213" s="283"/>
      <c r="N213" s="283"/>
      <c r="O213" s="283"/>
      <c r="P213" s="283"/>
      <c r="Q213" s="283"/>
      <c r="R213" s="280"/>
      <c r="S213" s="280"/>
      <c r="T213" s="280"/>
      <c r="U213" s="280"/>
      <c r="V213" s="280"/>
      <c r="W213" s="280"/>
      <c r="X213" s="280"/>
      <c r="Y213" s="280"/>
      <c r="Z213" s="280"/>
      <c r="AA213" s="280"/>
      <c r="AB213" s="280"/>
      <c r="AC213" s="280"/>
      <c r="AD213" s="280"/>
      <c r="AE213" s="280"/>
      <c r="AF213" s="280"/>
      <c r="AG213" s="280"/>
      <c r="AH213" s="280"/>
      <c r="AI213" s="224">
        <f t="shared" si="23"/>
        <v>0</v>
      </c>
      <c r="AJ213" s="224">
        <f t="shared" si="24"/>
        <v>0</v>
      </c>
      <c r="AK213" s="224">
        <f t="shared" si="25"/>
        <v>0</v>
      </c>
      <c r="AL213" s="224">
        <f t="shared" si="21"/>
        <v>0</v>
      </c>
      <c r="AM213" s="225">
        <f t="shared" si="22"/>
        <v>0</v>
      </c>
    </row>
    <row r="214" spans="1:39" s="261" customFormat="1" ht="20.100000000000001" hidden="1" customHeight="1" x14ac:dyDescent="0.2">
      <c r="A214" s="234" t="s">
        <v>354</v>
      </c>
      <c r="B214" s="308"/>
      <c r="C214" s="1066">
        <v>0</v>
      </c>
      <c r="D214" s="1066"/>
      <c r="E214" s="308"/>
      <c r="F214" s="283"/>
      <c r="G214" s="283"/>
      <c r="H214" s="283"/>
      <c r="I214" s="283"/>
      <c r="J214" s="283"/>
      <c r="K214" s="283"/>
      <c r="L214" s="283"/>
      <c r="M214" s="283"/>
      <c r="N214" s="283"/>
      <c r="O214" s="283"/>
      <c r="P214" s="283"/>
      <c r="Q214" s="283"/>
      <c r="R214" s="280"/>
      <c r="S214" s="280"/>
      <c r="T214" s="280"/>
      <c r="U214" s="280"/>
      <c r="V214" s="280"/>
      <c r="W214" s="280"/>
      <c r="X214" s="280"/>
      <c r="Y214" s="280"/>
      <c r="Z214" s="280"/>
      <c r="AA214" s="280"/>
      <c r="AB214" s="280"/>
      <c r="AC214" s="280"/>
      <c r="AD214" s="280"/>
      <c r="AE214" s="280"/>
      <c r="AF214" s="280"/>
      <c r="AG214" s="280"/>
      <c r="AH214" s="280"/>
      <c r="AI214" s="224">
        <f t="shared" si="23"/>
        <v>0</v>
      </c>
      <c r="AJ214" s="224">
        <f t="shared" si="24"/>
        <v>0</v>
      </c>
      <c r="AK214" s="224">
        <f t="shared" si="25"/>
        <v>0</v>
      </c>
      <c r="AL214" s="224">
        <f t="shared" si="21"/>
        <v>0</v>
      </c>
      <c r="AM214" s="225">
        <f t="shared" si="22"/>
        <v>0</v>
      </c>
    </row>
    <row r="215" spans="1:39" s="261" customFormat="1" ht="29.25" hidden="1" customHeight="1" x14ac:dyDescent="0.2">
      <c r="A215" s="234" t="s">
        <v>355</v>
      </c>
      <c r="B215" s="308"/>
      <c r="C215" s="1066"/>
      <c r="D215" s="1066"/>
      <c r="E215" s="308"/>
      <c r="F215" s="279"/>
      <c r="G215" s="279"/>
      <c r="H215" s="279"/>
      <c r="I215" s="279"/>
      <c r="J215" s="280"/>
      <c r="K215" s="280"/>
      <c r="L215" s="280"/>
      <c r="M215" s="280"/>
      <c r="N215" s="280"/>
      <c r="O215" s="280"/>
      <c r="P215" s="280"/>
      <c r="Q215" s="280"/>
      <c r="R215" s="280"/>
      <c r="S215" s="280"/>
      <c r="T215" s="280"/>
      <c r="U215" s="280"/>
      <c r="V215" s="280"/>
      <c r="W215" s="280"/>
      <c r="X215" s="280"/>
      <c r="Y215" s="280"/>
      <c r="Z215" s="280"/>
      <c r="AA215" s="280"/>
      <c r="AB215" s="280"/>
      <c r="AC215" s="280"/>
      <c r="AD215" s="280"/>
      <c r="AE215" s="280"/>
      <c r="AF215" s="280"/>
      <c r="AG215" s="280"/>
      <c r="AH215" s="280"/>
      <c r="AI215" s="224">
        <f t="shared" si="23"/>
        <v>0</v>
      </c>
      <c r="AJ215" s="224">
        <f t="shared" si="24"/>
        <v>0</v>
      </c>
      <c r="AK215" s="224">
        <f t="shared" si="25"/>
        <v>0</v>
      </c>
      <c r="AL215" s="224">
        <f t="shared" si="21"/>
        <v>0</v>
      </c>
      <c r="AM215" s="225">
        <f t="shared" si="22"/>
        <v>0</v>
      </c>
    </row>
    <row r="216" spans="1:39" s="261" customFormat="1" ht="26.25" hidden="1" customHeight="1" x14ac:dyDescent="0.2">
      <c r="A216" s="234" t="s">
        <v>356</v>
      </c>
      <c r="B216" s="308"/>
      <c r="C216" s="1066"/>
      <c r="D216" s="1066"/>
      <c r="E216" s="308"/>
      <c r="F216" s="283"/>
      <c r="G216" s="283"/>
      <c r="H216" s="283"/>
      <c r="I216" s="283"/>
      <c r="J216" s="283"/>
      <c r="K216" s="283"/>
      <c r="L216" s="283"/>
      <c r="M216" s="283"/>
      <c r="N216" s="283"/>
      <c r="O216" s="283"/>
      <c r="P216" s="283"/>
      <c r="Q216" s="283"/>
      <c r="R216" s="280"/>
      <c r="S216" s="280"/>
      <c r="T216" s="280"/>
      <c r="U216" s="280"/>
      <c r="V216" s="280"/>
      <c r="W216" s="280"/>
      <c r="X216" s="280"/>
      <c r="Y216" s="280"/>
      <c r="Z216" s="280"/>
      <c r="AA216" s="280"/>
      <c r="AB216" s="280"/>
      <c r="AC216" s="280"/>
      <c r="AD216" s="280"/>
      <c r="AE216" s="280"/>
      <c r="AF216" s="280"/>
      <c r="AG216" s="280"/>
      <c r="AH216" s="280"/>
      <c r="AI216" s="224">
        <f t="shared" si="23"/>
        <v>0</v>
      </c>
      <c r="AJ216" s="224">
        <f t="shared" si="24"/>
        <v>0</v>
      </c>
      <c r="AK216" s="224">
        <f t="shared" si="25"/>
        <v>0</v>
      </c>
      <c r="AL216" s="224">
        <f t="shared" si="21"/>
        <v>0</v>
      </c>
      <c r="AM216" s="225">
        <f t="shared" si="22"/>
        <v>0</v>
      </c>
    </row>
    <row r="217" spans="1:39" s="282" customFormat="1" ht="20.100000000000001" hidden="1" customHeight="1" x14ac:dyDescent="0.2">
      <c r="A217" s="232" t="s">
        <v>357</v>
      </c>
      <c r="B217" s="252"/>
      <c r="C217" s="1067">
        <v>2000</v>
      </c>
      <c r="D217" s="1067">
        <v>100</v>
      </c>
      <c r="E217" s="252">
        <v>102.09399999999999</v>
      </c>
      <c r="F217" s="295"/>
      <c r="G217" s="295"/>
      <c r="H217" s="295"/>
      <c r="I217" s="295"/>
      <c r="J217" s="313">
        <v>0</v>
      </c>
      <c r="K217" s="313"/>
      <c r="L217" s="313"/>
      <c r="M217" s="313"/>
      <c r="N217" s="313">
        <v>0</v>
      </c>
      <c r="O217" s="313"/>
      <c r="P217" s="313"/>
      <c r="Q217" s="313"/>
      <c r="R217" s="295">
        <v>0</v>
      </c>
      <c r="S217" s="295"/>
      <c r="T217" s="295"/>
      <c r="U217" s="295"/>
      <c r="V217" s="295">
        <v>0</v>
      </c>
      <c r="W217" s="295"/>
      <c r="X217" s="295"/>
      <c r="Y217" s="295"/>
      <c r="Z217" s="295">
        <v>0</v>
      </c>
      <c r="AA217" s="295"/>
      <c r="AB217" s="295"/>
      <c r="AC217" s="295"/>
      <c r="AD217" s="295">
        <v>0</v>
      </c>
      <c r="AE217" s="295"/>
      <c r="AF217" s="295"/>
      <c r="AG217" s="295"/>
      <c r="AH217" s="295">
        <v>0</v>
      </c>
      <c r="AI217" s="224">
        <f t="shared" si="23"/>
        <v>2000</v>
      </c>
      <c r="AJ217" s="224">
        <f t="shared" si="24"/>
        <v>100</v>
      </c>
      <c r="AK217" s="224">
        <f t="shared" si="25"/>
        <v>102.09399999999999</v>
      </c>
      <c r="AL217" s="224">
        <f t="shared" si="21"/>
        <v>0</v>
      </c>
      <c r="AM217" s="225">
        <f t="shared" si="22"/>
        <v>0</v>
      </c>
    </row>
    <row r="218" spans="1:39" s="311" customFormat="1" ht="20.100000000000001" customHeight="1" x14ac:dyDescent="0.2">
      <c r="A218" s="227" t="s">
        <v>358</v>
      </c>
      <c r="B218" s="310"/>
      <c r="C218" s="1068"/>
      <c r="D218" s="1068"/>
      <c r="E218" s="310">
        <v>165</v>
      </c>
      <c r="F218" s="296"/>
      <c r="G218" s="296"/>
      <c r="H218" s="296"/>
      <c r="I218" s="296"/>
      <c r="J218" s="230"/>
      <c r="K218" s="230"/>
      <c r="L218" s="230"/>
      <c r="M218" s="230"/>
      <c r="N218" s="230"/>
      <c r="O218" s="230">
        <v>1800</v>
      </c>
      <c r="P218" s="230">
        <v>1800</v>
      </c>
      <c r="Q218" s="230">
        <v>2893.3009999999999</v>
      </c>
      <c r="R218" s="230">
        <v>1800</v>
      </c>
      <c r="S218" s="230"/>
      <c r="T218" s="230"/>
      <c r="U218" s="230"/>
      <c r="V218" s="230">
        <v>0</v>
      </c>
      <c r="W218" s="230"/>
      <c r="X218" s="230"/>
      <c r="Y218" s="230">
        <v>55</v>
      </c>
      <c r="Z218" s="230"/>
      <c r="AA218" s="230"/>
      <c r="AB218" s="230"/>
      <c r="AC218" s="230">
        <v>1777.94</v>
      </c>
      <c r="AD218" s="230"/>
      <c r="AE218" s="230"/>
      <c r="AF218" s="230"/>
      <c r="AG218" s="230">
        <v>25</v>
      </c>
      <c r="AH218" s="230"/>
      <c r="AI218" s="224">
        <f t="shared" si="23"/>
        <v>1800</v>
      </c>
      <c r="AJ218" s="224">
        <f t="shared" si="24"/>
        <v>1800</v>
      </c>
      <c r="AK218" s="224">
        <f t="shared" si="25"/>
        <v>4916.241</v>
      </c>
      <c r="AL218" s="224">
        <f t="shared" si="21"/>
        <v>1800</v>
      </c>
      <c r="AM218" s="225">
        <f t="shared" si="22"/>
        <v>1800</v>
      </c>
    </row>
    <row r="219" spans="1:39" s="312" customFormat="1" ht="20.100000000000001" customHeight="1" x14ac:dyDescent="0.2">
      <c r="A219" s="315" t="s">
        <v>359</v>
      </c>
      <c r="B219" s="310"/>
      <c r="C219" s="1068">
        <v>68200</v>
      </c>
      <c r="D219" s="1068">
        <v>68200</v>
      </c>
      <c r="E219" s="310">
        <v>68323.705000000002</v>
      </c>
      <c r="F219" s="316">
        <v>68200</v>
      </c>
      <c r="G219" s="317"/>
      <c r="H219" s="317"/>
      <c r="I219" s="317">
        <v>329.99</v>
      </c>
      <c r="J219" s="305"/>
      <c r="K219" s="305"/>
      <c r="L219" s="305"/>
      <c r="M219" s="305"/>
      <c r="N219" s="305">
        <v>0</v>
      </c>
      <c r="O219" s="305">
        <v>8000</v>
      </c>
      <c r="P219" s="305">
        <v>8000</v>
      </c>
      <c r="Q219" s="305">
        <v>10734.005999999999</v>
      </c>
      <c r="R219" s="241">
        <v>8000</v>
      </c>
      <c r="S219" s="241">
        <v>0</v>
      </c>
      <c r="T219" s="241">
        <v>0</v>
      </c>
      <c r="U219" s="241">
        <v>2374.6750000000002</v>
      </c>
      <c r="V219" s="241"/>
      <c r="W219" s="241"/>
      <c r="X219" s="241"/>
      <c r="Y219" s="241">
        <v>131.34800000000001</v>
      </c>
      <c r="Z219" s="241">
        <v>0</v>
      </c>
      <c r="AA219" s="241"/>
      <c r="AB219" s="241"/>
      <c r="AC219" s="241">
        <v>170.89599999999999</v>
      </c>
      <c r="AD219" s="241">
        <v>0</v>
      </c>
      <c r="AE219" s="241"/>
      <c r="AF219" s="241"/>
      <c r="AG219" s="241">
        <v>248.762</v>
      </c>
      <c r="AH219" s="241">
        <v>0</v>
      </c>
      <c r="AI219" s="224">
        <f t="shared" si="23"/>
        <v>76200</v>
      </c>
      <c r="AJ219" s="224">
        <f t="shared" si="24"/>
        <v>76200</v>
      </c>
      <c r="AK219" s="224">
        <f t="shared" si="25"/>
        <v>82313.381999999998</v>
      </c>
      <c r="AL219" s="224">
        <f t="shared" si="21"/>
        <v>76200</v>
      </c>
      <c r="AM219" s="225">
        <f t="shared" si="22"/>
        <v>8000</v>
      </c>
    </row>
    <row r="220" spans="1:39" s="261" customFormat="1" ht="68.25" hidden="1" customHeight="1" x14ac:dyDescent="0.2">
      <c r="A220" s="234" t="s">
        <v>360</v>
      </c>
      <c r="B220" s="308"/>
      <c r="C220" s="308"/>
      <c r="D220" s="308"/>
      <c r="E220" s="308">
        <v>431</v>
      </c>
      <c r="F220" s="241"/>
      <c r="G220" s="241"/>
      <c r="H220" s="241"/>
      <c r="I220" s="241"/>
      <c r="J220" s="280"/>
      <c r="K220" s="288"/>
      <c r="L220" s="288"/>
      <c r="M220" s="288"/>
      <c r="N220" s="288"/>
      <c r="O220" s="288"/>
      <c r="P220" s="288"/>
      <c r="Q220" s="288"/>
      <c r="R220" s="280"/>
      <c r="S220" s="280"/>
      <c r="T220" s="280"/>
      <c r="U220" s="280"/>
      <c r="V220" s="280">
        <v>0</v>
      </c>
      <c r="W220" s="280"/>
      <c r="X220" s="280"/>
      <c r="Y220" s="280"/>
      <c r="Z220" s="280"/>
      <c r="AA220" s="280"/>
      <c r="AB220" s="280"/>
      <c r="AC220" s="280"/>
      <c r="AD220" s="280"/>
      <c r="AE220" s="280"/>
      <c r="AF220" s="280"/>
      <c r="AG220" s="280"/>
      <c r="AH220" s="280"/>
      <c r="AI220" s="224">
        <f t="shared" si="23"/>
        <v>0</v>
      </c>
      <c r="AJ220" s="224">
        <f t="shared" si="24"/>
        <v>0</v>
      </c>
      <c r="AK220" s="224">
        <f t="shared" si="25"/>
        <v>431</v>
      </c>
      <c r="AL220" s="224">
        <f t="shared" si="21"/>
        <v>0</v>
      </c>
      <c r="AM220" s="225">
        <f t="shared" si="22"/>
        <v>0</v>
      </c>
    </row>
    <row r="221" spans="1:39" s="323" customFormat="1" ht="20.100000000000001" customHeight="1" x14ac:dyDescent="0.2">
      <c r="A221" s="234" t="s">
        <v>361</v>
      </c>
      <c r="B221" s="318"/>
      <c r="C221" s="279">
        <v>65000</v>
      </c>
      <c r="D221" s="279">
        <v>65000</v>
      </c>
      <c r="E221" s="318">
        <v>64986</v>
      </c>
      <c r="F221" s="279">
        <v>65000</v>
      </c>
      <c r="G221" s="319"/>
      <c r="H221" s="319"/>
      <c r="I221" s="319"/>
      <c r="J221" s="320"/>
      <c r="K221" s="320"/>
      <c r="L221" s="320"/>
      <c r="M221" s="320"/>
      <c r="N221" s="321"/>
      <c r="O221" s="322"/>
      <c r="P221" s="322"/>
      <c r="Q221" s="322"/>
      <c r="R221" s="320"/>
      <c r="S221" s="320"/>
      <c r="T221" s="320"/>
      <c r="U221" s="320"/>
      <c r="V221" s="320"/>
      <c r="W221" s="320"/>
      <c r="X221" s="320"/>
      <c r="Y221" s="320"/>
      <c r="Z221" s="320"/>
      <c r="AA221" s="320"/>
      <c r="AB221" s="320"/>
      <c r="AC221" s="320"/>
      <c r="AD221" s="320"/>
      <c r="AE221" s="320"/>
      <c r="AF221" s="320"/>
      <c r="AG221" s="320"/>
      <c r="AH221" s="320"/>
      <c r="AI221" s="224">
        <f t="shared" si="23"/>
        <v>65000</v>
      </c>
      <c r="AJ221" s="224">
        <f t="shared" si="24"/>
        <v>65000</v>
      </c>
      <c r="AK221" s="224">
        <f t="shared" si="25"/>
        <v>64986</v>
      </c>
      <c r="AL221" s="224">
        <f t="shared" si="21"/>
        <v>65000</v>
      </c>
      <c r="AM221" s="225">
        <f t="shared" si="22"/>
        <v>0</v>
      </c>
    </row>
    <row r="222" spans="1:39" s="268" customFormat="1" ht="51" customHeight="1" thickBot="1" x14ac:dyDescent="0.25">
      <c r="A222" s="265" t="s">
        <v>1114</v>
      </c>
      <c r="B222" s="266" t="s">
        <v>102</v>
      </c>
      <c r="C222" s="324">
        <f>+C187+C188+C191+C193+C200+C201+C202+C209+C218+C219</f>
        <v>1728507</v>
      </c>
      <c r="D222" s="324">
        <f>+D187+D188+D191+D193+D200+D201+D202+D209+D218+D219</f>
        <v>1728507</v>
      </c>
      <c r="E222" s="324">
        <v>1559713.4029999999</v>
      </c>
      <c r="F222" s="324">
        <v>1728507</v>
      </c>
      <c r="G222" s="324">
        <f t="shared" ref="G222:H222" si="33">+G187+G188+G191+G193+G200+G201+G202+G209+G218+G219</f>
        <v>10160</v>
      </c>
      <c r="H222" s="324">
        <f t="shared" si="33"/>
        <v>10160</v>
      </c>
      <c r="I222" s="324">
        <v>13677.942000000001</v>
      </c>
      <c r="J222" s="324">
        <v>10160</v>
      </c>
      <c r="K222" s="324">
        <f t="shared" ref="K222:L222" si="34">+K187+K188+K191+K193+K200+K201+K202+K209+K218+K219</f>
        <v>21008</v>
      </c>
      <c r="L222" s="324">
        <f t="shared" si="34"/>
        <v>21008</v>
      </c>
      <c r="M222" s="324">
        <v>17764.493000000002</v>
      </c>
      <c r="N222" s="324">
        <v>21008</v>
      </c>
      <c r="O222" s="324">
        <f t="shared" ref="O222:P222" si="35">+O187+O188+O191+O193+O200+O201+O202+O209+O218+O219</f>
        <v>1184232</v>
      </c>
      <c r="P222" s="324">
        <f t="shared" si="35"/>
        <v>1184232</v>
      </c>
      <c r="Q222" s="324">
        <v>1222351.24</v>
      </c>
      <c r="R222" s="324">
        <v>1184232</v>
      </c>
      <c r="S222" s="324">
        <f t="shared" ref="S222:T222" si="36">+S187+S188+S191+S193+S200+S201+S202+S209+S218+S219</f>
        <v>35759</v>
      </c>
      <c r="T222" s="324">
        <f t="shared" si="36"/>
        <v>35759</v>
      </c>
      <c r="U222" s="324">
        <v>35636</v>
      </c>
      <c r="V222" s="324">
        <v>35759</v>
      </c>
      <c r="W222" s="324">
        <f t="shared" ref="W222:X222" si="37">+W187+W188+W191+W193+W200+W201+W202+W209+W218+W219</f>
        <v>22429</v>
      </c>
      <c r="X222" s="324">
        <f t="shared" si="37"/>
        <v>22429</v>
      </c>
      <c r="Y222" s="324">
        <v>23991.901999999998</v>
      </c>
      <c r="Z222" s="324">
        <v>22429</v>
      </c>
      <c r="AA222" s="324">
        <f t="shared" ref="AA222:AB222" si="38">+AA187+AA188+AA191+AA193+AA200+AA201+AA202+AA209+AA218+AA219</f>
        <v>54193</v>
      </c>
      <c r="AB222" s="324">
        <f t="shared" si="38"/>
        <v>54193</v>
      </c>
      <c r="AC222" s="324">
        <v>48507.748</v>
      </c>
      <c r="AD222" s="324">
        <v>54193</v>
      </c>
      <c r="AE222" s="324">
        <f t="shared" ref="AE222:AF222" si="39">+AE187+AE188+AE191+AE193+AE200+AE201+AE202+AE209+AE218+AE219</f>
        <v>12000</v>
      </c>
      <c r="AF222" s="324">
        <f t="shared" si="39"/>
        <v>12000</v>
      </c>
      <c r="AG222" s="324">
        <v>14342.535</v>
      </c>
      <c r="AH222" s="324">
        <v>12000</v>
      </c>
      <c r="AI222" s="224">
        <f t="shared" si="23"/>
        <v>3068288</v>
      </c>
      <c r="AJ222" s="224">
        <f t="shared" si="24"/>
        <v>3068288</v>
      </c>
      <c r="AK222" s="224">
        <f t="shared" si="25"/>
        <v>2935985.2629999998</v>
      </c>
      <c r="AL222" s="224">
        <f t="shared" si="21"/>
        <v>3068288</v>
      </c>
      <c r="AM222" s="225">
        <f t="shared" si="22"/>
        <v>1339781</v>
      </c>
    </row>
    <row r="223" spans="1:39" s="326" customFormat="1" ht="30" customHeight="1" x14ac:dyDescent="0.2">
      <c r="A223" s="325" t="s">
        <v>362</v>
      </c>
      <c r="B223" s="247"/>
      <c r="C223" s="247"/>
      <c r="D223" s="247"/>
      <c r="E223" s="247"/>
      <c r="F223" s="249">
        <v>0</v>
      </c>
      <c r="G223" s="249"/>
      <c r="H223" s="249"/>
      <c r="I223" s="249"/>
      <c r="J223" s="250">
        <v>0</v>
      </c>
      <c r="K223" s="250"/>
      <c r="L223" s="250"/>
      <c r="M223" s="250"/>
      <c r="N223" s="250">
        <v>0</v>
      </c>
      <c r="O223" s="250"/>
      <c r="P223" s="250"/>
      <c r="Q223" s="250"/>
      <c r="R223" s="249">
        <v>0</v>
      </c>
      <c r="S223" s="249"/>
      <c r="T223" s="249"/>
      <c r="U223" s="249"/>
      <c r="V223" s="249">
        <v>0</v>
      </c>
      <c r="W223" s="249"/>
      <c r="X223" s="249"/>
      <c r="Y223" s="249"/>
      <c r="Z223" s="249">
        <v>0</v>
      </c>
      <c r="AA223" s="249"/>
      <c r="AB223" s="249"/>
      <c r="AC223" s="249"/>
      <c r="AD223" s="249">
        <v>0</v>
      </c>
      <c r="AE223" s="249"/>
      <c r="AF223" s="249"/>
      <c r="AG223" s="249"/>
      <c r="AH223" s="249">
        <v>0</v>
      </c>
      <c r="AI223" s="224">
        <f t="shared" si="23"/>
        <v>0</v>
      </c>
      <c r="AJ223" s="224">
        <f t="shared" si="24"/>
        <v>0</v>
      </c>
      <c r="AK223" s="224">
        <f t="shared" si="25"/>
        <v>0</v>
      </c>
      <c r="AL223" s="224">
        <f t="shared" si="21"/>
        <v>0</v>
      </c>
      <c r="AM223" s="225">
        <f t="shared" si="22"/>
        <v>0</v>
      </c>
    </row>
    <row r="224" spans="1:39" s="264" customFormat="1" ht="33" hidden="1" customHeight="1" x14ac:dyDescent="0.2">
      <c r="A224" s="234" t="s">
        <v>363</v>
      </c>
      <c r="B224" s="254"/>
      <c r="C224" s="254"/>
      <c r="D224" s="254"/>
      <c r="E224" s="254"/>
      <c r="F224" s="279"/>
      <c r="G224" s="292"/>
      <c r="H224" s="292"/>
      <c r="I224" s="292"/>
      <c r="J224" s="288"/>
      <c r="K224" s="288"/>
      <c r="L224" s="288"/>
      <c r="M224" s="288"/>
      <c r="N224" s="287"/>
      <c r="O224" s="287"/>
      <c r="P224" s="287"/>
      <c r="Q224" s="287"/>
      <c r="R224" s="288"/>
      <c r="S224" s="288"/>
      <c r="T224" s="288"/>
      <c r="U224" s="288"/>
      <c r="V224" s="288"/>
      <c r="W224" s="288"/>
      <c r="X224" s="288"/>
      <c r="Y224" s="288"/>
      <c r="Z224" s="288"/>
      <c r="AA224" s="288"/>
      <c r="AB224" s="288"/>
      <c r="AC224" s="288"/>
      <c r="AD224" s="288"/>
      <c r="AE224" s="288"/>
      <c r="AF224" s="288"/>
      <c r="AG224" s="288"/>
      <c r="AH224" s="288"/>
      <c r="AI224" s="224">
        <f t="shared" si="23"/>
        <v>0</v>
      </c>
      <c r="AJ224" s="224">
        <f t="shared" si="24"/>
        <v>0</v>
      </c>
      <c r="AK224" s="224">
        <f t="shared" si="25"/>
        <v>0</v>
      </c>
      <c r="AL224" s="224">
        <f t="shared" si="21"/>
        <v>0</v>
      </c>
      <c r="AM224" s="225">
        <f t="shared" si="22"/>
        <v>0</v>
      </c>
    </row>
    <row r="225" spans="1:39" s="329" customFormat="1" ht="20.100000000000001" customHeight="1" x14ac:dyDescent="0.2">
      <c r="A225" s="246" t="s">
        <v>364</v>
      </c>
      <c r="B225" s="228"/>
      <c r="C225" s="228">
        <v>1350000</v>
      </c>
      <c r="D225" s="228">
        <v>1350000</v>
      </c>
      <c r="E225" s="228">
        <v>751654.071</v>
      </c>
      <c r="F225" s="248">
        <v>1350000</v>
      </c>
      <c r="G225" s="248"/>
      <c r="H225" s="248"/>
      <c r="I225" s="248"/>
      <c r="J225" s="321"/>
      <c r="K225" s="321"/>
      <c r="L225" s="321"/>
      <c r="M225" s="321"/>
      <c r="N225" s="327"/>
      <c r="O225" s="327"/>
      <c r="P225" s="327"/>
      <c r="Q225" s="327"/>
      <c r="R225" s="321"/>
      <c r="S225" s="321"/>
      <c r="T225" s="321"/>
      <c r="U225" s="321"/>
      <c r="V225" s="321"/>
      <c r="W225" s="321"/>
      <c r="X225" s="321"/>
      <c r="Y225" s="321"/>
      <c r="Z225" s="321"/>
      <c r="AA225" s="321"/>
      <c r="AB225" s="321"/>
      <c r="AC225" s="321"/>
      <c r="AD225" s="321"/>
      <c r="AE225" s="321"/>
      <c r="AF225" s="321"/>
      <c r="AG225" s="321"/>
      <c r="AH225" s="328"/>
      <c r="AI225" s="224">
        <f t="shared" si="23"/>
        <v>1350000</v>
      </c>
      <c r="AJ225" s="224">
        <f t="shared" si="24"/>
        <v>1350000</v>
      </c>
      <c r="AK225" s="224">
        <f t="shared" si="25"/>
        <v>751654.071</v>
      </c>
      <c r="AL225" s="224">
        <f t="shared" si="21"/>
        <v>1350000</v>
      </c>
      <c r="AM225" s="225">
        <f t="shared" si="22"/>
        <v>0</v>
      </c>
    </row>
    <row r="226" spans="1:39" s="333" customFormat="1" ht="20.100000000000001" customHeight="1" x14ac:dyDescent="0.25">
      <c r="A226" s="234" t="s">
        <v>365</v>
      </c>
      <c r="B226" s="235"/>
      <c r="C226" s="235"/>
      <c r="D226" s="235"/>
      <c r="E226" s="235"/>
      <c r="F226" s="330"/>
      <c r="G226" s="330"/>
      <c r="H226" s="330"/>
      <c r="I226" s="330"/>
      <c r="J226" s="331"/>
      <c r="K226" s="331"/>
      <c r="L226" s="331"/>
      <c r="M226" s="331"/>
      <c r="N226" s="331"/>
      <c r="O226" s="331"/>
      <c r="P226" s="331"/>
      <c r="Q226" s="331"/>
      <c r="R226" s="330"/>
      <c r="S226" s="330"/>
      <c r="T226" s="330"/>
      <c r="U226" s="330"/>
      <c r="V226" s="330"/>
      <c r="W226" s="330"/>
      <c r="X226" s="330"/>
      <c r="Y226" s="330"/>
      <c r="Z226" s="330"/>
      <c r="AA226" s="330"/>
      <c r="AB226" s="330"/>
      <c r="AC226" s="330"/>
      <c r="AD226" s="330"/>
      <c r="AE226" s="330"/>
      <c r="AF226" s="330"/>
      <c r="AG226" s="330"/>
      <c r="AH226" s="332"/>
      <c r="AI226" s="224">
        <f t="shared" si="23"/>
        <v>0</v>
      </c>
      <c r="AJ226" s="224">
        <f t="shared" si="24"/>
        <v>0</v>
      </c>
      <c r="AK226" s="224">
        <f t="shared" si="25"/>
        <v>0</v>
      </c>
      <c r="AL226" s="224">
        <f t="shared" si="21"/>
        <v>0</v>
      </c>
      <c r="AM226" s="225">
        <f t="shared" si="22"/>
        <v>0</v>
      </c>
    </row>
    <row r="227" spans="1:39" s="335" customFormat="1" ht="20.100000000000001" customHeight="1" x14ac:dyDescent="0.2">
      <c r="A227" s="246" t="s">
        <v>366</v>
      </c>
      <c r="B227" s="310"/>
      <c r="C227" s="310"/>
      <c r="D227" s="310"/>
      <c r="E227" s="310"/>
      <c r="F227" s="334">
        <v>0</v>
      </c>
      <c r="G227" s="334"/>
      <c r="H227" s="334"/>
      <c r="I227" s="334">
        <v>39.369999999999997</v>
      </c>
      <c r="J227" s="321">
        <v>0</v>
      </c>
      <c r="K227" s="321"/>
      <c r="L227" s="321"/>
      <c r="M227" s="321"/>
      <c r="N227" s="321"/>
      <c r="O227" s="321"/>
      <c r="P227" s="321"/>
      <c r="Q227" s="321">
        <v>1311.11</v>
      </c>
      <c r="R227" s="321"/>
      <c r="S227" s="321"/>
      <c r="T227" s="321"/>
      <c r="U227" s="321"/>
      <c r="V227" s="321"/>
      <c r="W227" s="321"/>
      <c r="X227" s="321"/>
      <c r="Y227" s="321"/>
      <c r="Z227" s="328"/>
      <c r="AA227" s="328"/>
      <c r="AB227" s="328"/>
      <c r="AC227" s="328"/>
      <c r="AD227" s="321"/>
      <c r="AE227" s="321"/>
      <c r="AF227" s="321"/>
      <c r="AG227" s="321"/>
      <c r="AH227" s="328"/>
      <c r="AI227" s="224">
        <f t="shared" si="23"/>
        <v>0</v>
      </c>
      <c r="AJ227" s="224">
        <f t="shared" si="24"/>
        <v>0</v>
      </c>
      <c r="AK227" s="224">
        <f t="shared" si="25"/>
        <v>1350.4799999999998</v>
      </c>
      <c r="AL227" s="224">
        <f t="shared" si="21"/>
        <v>0</v>
      </c>
      <c r="AM227" s="225">
        <f t="shared" si="22"/>
        <v>0</v>
      </c>
    </row>
    <row r="228" spans="1:39" s="329" customFormat="1" ht="20.100000000000001" customHeight="1" x14ac:dyDescent="0.2">
      <c r="A228" s="246" t="s">
        <v>367</v>
      </c>
      <c r="B228" s="228"/>
      <c r="C228" s="228"/>
      <c r="D228" s="228"/>
      <c r="E228" s="228"/>
      <c r="F228" s="248"/>
      <c r="G228" s="248"/>
      <c r="H228" s="248"/>
      <c r="I228" s="248"/>
      <c r="J228" s="328"/>
      <c r="K228" s="328"/>
      <c r="L228" s="328"/>
      <c r="M228" s="328"/>
      <c r="N228" s="328"/>
      <c r="O228" s="328"/>
      <c r="P228" s="328"/>
      <c r="Q228" s="328"/>
      <c r="R228" s="328"/>
      <c r="S228" s="328"/>
      <c r="T228" s="328"/>
      <c r="U228" s="328"/>
      <c r="V228" s="328"/>
      <c r="W228" s="328"/>
      <c r="X228" s="328"/>
      <c r="Y228" s="328"/>
      <c r="Z228" s="328"/>
      <c r="AA228" s="328"/>
      <c r="AB228" s="328"/>
      <c r="AC228" s="328"/>
      <c r="AD228" s="328"/>
      <c r="AE228" s="328"/>
      <c r="AF228" s="328"/>
      <c r="AG228" s="328"/>
      <c r="AH228" s="328"/>
      <c r="AI228" s="224">
        <f t="shared" si="23"/>
        <v>0</v>
      </c>
      <c r="AJ228" s="224">
        <f t="shared" si="24"/>
        <v>0</v>
      </c>
      <c r="AK228" s="224">
        <f t="shared" si="25"/>
        <v>0</v>
      </c>
      <c r="AL228" s="224">
        <f t="shared" si="21"/>
        <v>0</v>
      </c>
      <c r="AM228" s="225">
        <f t="shared" si="22"/>
        <v>0</v>
      </c>
    </row>
    <row r="229" spans="1:39" s="264" customFormat="1" ht="20.100000000000001" hidden="1" customHeight="1" x14ac:dyDescent="0.2">
      <c r="A229" s="234" t="s">
        <v>368</v>
      </c>
      <c r="B229" s="254"/>
      <c r="C229" s="254"/>
      <c r="D229" s="254"/>
      <c r="E229" s="254"/>
      <c r="F229" s="279"/>
      <c r="G229" s="292"/>
      <c r="H229" s="292"/>
      <c r="I229" s="292"/>
      <c r="J229" s="288"/>
      <c r="K229" s="288"/>
      <c r="L229" s="288"/>
      <c r="M229" s="288"/>
      <c r="N229" s="288"/>
      <c r="O229" s="288"/>
      <c r="P229" s="288"/>
      <c r="Q229" s="288"/>
      <c r="R229" s="288"/>
      <c r="S229" s="288"/>
      <c r="T229" s="288"/>
      <c r="U229" s="288"/>
      <c r="V229" s="288"/>
      <c r="W229" s="288"/>
      <c r="X229" s="288"/>
      <c r="Y229" s="288"/>
      <c r="Z229" s="288"/>
      <c r="AA229" s="288"/>
      <c r="AB229" s="288"/>
      <c r="AC229" s="288"/>
      <c r="AD229" s="288"/>
      <c r="AE229" s="288"/>
      <c r="AF229" s="288"/>
      <c r="AG229" s="288"/>
      <c r="AH229" s="288"/>
      <c r="AI229" s="224">
        <f t="shared" si="23"/>
        <v>0</v>
      </c>
      <c r="AJ229" s="224">
        <f t="shared" si="24"/>
        <v>0</v>
      </c>
      <c r="AK229" s="224">
        <f t="shared" si="25"/>
        <v>0</v>
      </c>
      <c r="AL229" s="224">
        <f t="shared" si="21"/>
        <v>0</v>
      </c>
      <c r="AM229" s="225">
        <f t="shared" si="22"/>
        <v>0</v>
      </c>
    </row>
    <row r="230" spans="1:39" s="339" customFormat="1" ht="30.75" customHeight="1" x14ac:dyDescent="0.2">
      <c r="A230" s="246" t="s">
        <v>369</v>
      </c>
      <c r="B230" s="336"/>
      <c r="C230" s="336"/>
      <c r="D230" s="336"/>
      <c r="E230" s="336"/>
      <c r="F230" s="337"/>
      <c r="G230" s="337"/>
      <c r="H230" s="337"/>
      <c r="I230" s="337"/>
      <c r="J230" s="337"/>
      <c r="K230" s="337"/>
      <c r="L230" s="337"/>
      <c r="M230" s="337"/>
      <c r="N230" s="337"/>
      <c r="O230" s="337"/>
      <c r="P230" s="337"/>
      <c r="Q230" s="337"/>
      <c r="R230" s="337"/>
      <c r="S230" s="337"/>
      <c r="T230" s="337"/>
      <c r="U230" s="337"/>
      <c r="V230" s="337"/>
      <c r="W230" s="337"/>
      <c r="X230" s="337"/>
      <c r="Y230" s="337"/>
      <c r="Z230" s="338"/>
      <c r="AA230" s="338"/>
      <c r="AB230" s="338"/>
      <c r="AC230" s="338"/>
      <c r="AD230" s="337"/>
      <c r="AE230" s="337"/>
      <c r="AF230" s="337"/>
      <c r="AG230" s="337"/>
      <c r="AH230" s="338"/>
      <c r="AI230" s="224">
        <f t="shared" si="23"/>
        <v>0</v>
      </c>
      <c r="AJ230" s="224">
        <f t="shared" si="24"/>
        <v>0</v>
      </c>
      <c r="AK230" s="224">
        <f t="shared" si="25"/>
        <v>0</v>
      </c>
      <c r="AL230" s="224">
        <f t="shared" si="21"/>
        <v>0</v>
      </c>
      <c r="AM230" s="225">
        <f t="shared" si="22"/>
        <v>0</v>
      </c>
    </row>
    <row r="231" spans="1:39" s="268" customFormat="1" ht="33.75" customHeight="1" thickBot="1" x14ac:dyDescent="0.25">
      <c r="A231" s="265" t="s">
        <v>370</v>
      </c>
      <c r="B231" s="340" t="s">
        <v>110</v>
      </c>
      <c r="C231" s="341">
        <f>+C223+C225+C227+C228+C230</f>
        <v>1350000</v>
      </c>
      <c r="D231" s="341">
        <f>+D223+D225+D227+D228+D230</f>
        <v>1350000</v>
      </c>
      <c r="E231" s="341">
        <v>751654.071</v>
      </c>
      <c r="F231" s="341">
        <v>1350000</v>
      </c>
      <c r="G231" s="341"/>
      <c r="H231" s="341"/>
      <c r="I231" s="341">
        <v>39.369999999999997</v>
      </c>
      <c r="J231" s="341">
        <v>0</v>
      </c>
      <c r="K231" s="341"/>
      <c r="L231" s="341"/>
      <c r="M231" s="341"/>
      <c r="N231" s="341">
        <v>0</v>
      </c>
      <c r="O231" s="341"/>
      <c r="P231" s="341"/>
      <c r="Q231" s="341">
        <v>1311.11</v>
      </c>
      <c r="R231" s="341">
        <v>0</v>
      </c>
      <c r="S231" s="341"/>
      <c r="T231" s="341"/>
      <c r="U231" s="341"/>
      <c r="V231" s="341">
        <v>0</v>
      </c>
      <c r="W231" s="341"/>
      <c r="X231" s="341"/>
      <c r="Y231" s="341"/>
      <c r="Z231" s="341">
        <v>0</v>
      </c>
      <c r="AA231" s="341"/>
      <c r="AB231" s="341"/>
      <c r="AC231" s="341"/>
      <c r="AD231" s="341">
        <v>0</v>
      </c>
      <c r="AE231" s="341"/>
      <c r="AF231" s="341"/>
      <c r="AG231" s="341"/>
      <c r="AH231" s="341">
        <v>0</v>
      </c>
      <c r="AI231" s="224">
        <f t="shared" si="23"/>
        <v>1350000</v>
      </c>
      <c r="AJ231" s="224">
        <f t="shared" si="24"/>
        <v>1350000</v>
      </c>
      <c r="AK231" s="224">
        <f t="shared" si="25"/>
        <v>753004.55099999998</v>
      </c>
      <c r="AL231" s="224">
        <f t="shared" si="21"/>
        <v>1350000</v>
      </c>
      <c r="AM231" s="225">
        <f t="shared" si="22"/>
        <v>0</v>
      </c>
    </row>
    <row r="232" spans="1:39" s="251" customFormat="1" ht="44.25" hidden="1" customHeight="1" x14ac:dyDescent="0.2">
      <c r="A232" s="269" t="s">
        <v>371</v>
      </c>
      <c r="B232" s="247"/>
      <c r="C232" s="247"/>
      <c r="D232" s="247"/>
      <c r="E232" s="247"/>
      <c r="F232" s="249"/>
      <c r="G232" s="249"/>
      <c r="H232" s="249"/>
      <c r="I232" s="249"/>
      <c r="J232" s="342"/>
      <c r="K232" s="342"/>
      <c r="L232" s="342"/>
      <c r="M232" s="342"/>
      <c r="N232" s="290"/>
      <c r="O232" s="290"/>
      <c r="P232" s="290"/>
      <c r="Q232" s="290"/>
      <c r="R232" s="342"/>
      <c r="S232" s="342"/>
      <c r="T232" s="342"/>
      <c r="U232" s="342"/>
      <c r="V232" s="342"/>
      <c r="W232" s="342"/>
      <c r="X232" s="342"/>
      <c r="Y232" s="342"/>
      <c r="Z232" s="342"/>
      <c r="AA232" s="342"/>
      <c r="AB232" s="342"/>
      <c r="AC232" s="342"/>
      <c r="AD232" s="342"/>
      <c r="AE232" s="342"/>
      <c r="AF232" s="342"/>
      <c r="AG232" s="342"/>
      <c r="AH232" s="342"/>
      <c r="AI232" s="224">
        <f t="shared" si="23"/>
        <v>0</v>
      </c>
      <c r="AJ232" s="224">
        <f t="shared" si="24"/>
        <v>0</v>
      </c>
      <c r="AK232" s="224">
        <f t="shared" si="25"/>
        <v>0</v>
      </c>
      <c r="AL232" s="224">
        <f t="shared" si="21"/>
        <v>0</v>
      </c>
      <c r="AM232" s="225">
        <f t="shared" si="22"/>
        <v>0</v>
      </c>
    </row>
    <row r="233" spans="1:39" s="335" customFormat="1" ht="37.5" hidden="1" customHeight="1" x14ac:dyDescent="0.2">
      <c r="A233" s="246" t="s">
        <v>372</v>
      </c>
      <c r="B233" s="310"/>
      <c r="C233" s="310"/>
      <c r="D233" s="310"/>
      <c r="E233" s="310"/>
      <c r="F233" s="248"/>
      <c r="G233" s="248"/>
      <c r="H233" s="248"/>
      <c r="I233" s="248"/>
      <c r="J233" s="328"/>
      <c r="K233" s="328"/>
      <c r="L233" s="328"/>
      <c r="M233" s="328"/>
      <c r="N233" s="289"/>
      <c r="O233" s="289"/>
      <c r="P233" s="289"/>
      <c r="Q233" s="289"/>
      <c r="R233" s="328"/>
      <c r="S233" s="328"/>
      <c r="T233" s="328"/>
      <c r="U233" s="328"/>
      <c r="V233" s="328"/>
      <c r="W233" s="328"/>
      <c r="X233" s="328"/>
      <c r="Y233" s="328"/>
      <c r="Z233" s="328"/>
      <c r="AA233" s="328"/>
      <c r="AB233" s="328"/>
      <c r="AC233" s="328"/>
      <c r="AD233" s="328"/>
      <c r="AE233" s="328"/>
      <c r="AF233" s="328"/>
      <c r="AG233" s="328"/>
      <c r="AH233" s="328"/>
      <c r="AI233" s="224">
        <f t="shared" si="23"/>
        <v>0</v>
      </c>
      <c r="AJ233" s="224">
        <f t="shared" si="24"/>
        <v>0</v>
      </c>
      <c r="AK233" s="224">
        <f t="shared" si="25"/>
        <v>0</v>
      </c>
      <c r="AL233" s="224">
        <f t="shared" si="21"/>
        <v>0</v>
      </c>
      <c r="AM233" s="225">
        <f t="shared" si="22"/>
        <v>0</v>
      </c>
    </row>
    <row r="234" spans="1:39" s="335" customFormat="1" ht="45" hidden="1" customHeight="1" x14ac:dyDescent="0.2">
      <c r="A234" s="246" t="s">
        <v>373</v>
      </c>
      <c r="B234" s="310"/>
      <c r="C234" s="310"/>
      <c r="D234" s="310"/>
      <c r="E234" s="310"/>
      <c r="F234" s="248"/>
      <c r="G234" s="248"/>
      <c r="H234" s="248"/>
      <c r="I234" s="248"/>
      <c r="J234" s="328"/>
      <c r="K234" s="328"/>
      <c r="L234" s="328"/>
      <c r="M234" s="328"/>
      <c r="N234" s="289"/>
      <c r="O234" s="289"/>
      <c r="P234" s="289"/>
      <c r="Q234" s="289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224">
        <f t="shared" si="23"/>
        <v>0</v>
      </c>
      <c r="AJ234" s="224">
        <f t="shared" si="24"/>
        <v>0</v>
      </c>
      <c r="AK234" s="224">
        <f t="shared" si="25"/>
        <v>0</v>
      </c>
      <c r="AL234" s="224">
        <f t="shared" si="21"/>
        <v>0</v>
      </c>
      <c r="AM234" s="225">
        <f t="shared" si="22"/>
        <v>0</v>
      </c>
    </row>
    <row r="235" spans="1:39" s="253" customFormat="1" ht="43.5" hidden="1" customHeight="1" x14ac:dyDescent="0.2">
      <c r="A235" s="242" t="s">
        <v>374</v>
      </c>
      <c r="B235" s="252"/>
      <c r="C235" s="252"/>
      <c r="D235" s="252"/>
      <c r="E235" s="252"/>
      <c r="F235" s="285">
        <v>0</v>
      </c>
      <c r="G235" s="285"/>
      <c r="H235" s="285"/>
      <c r="I235" s="285"/>
      <c r="J235" s="285">
        <v>0</v>
      </c>
      <c r="K235" s="285"/>
      <c r="L235" s="285"/>
      <c r="M235" s="285"/>
      <c r="N235" s="285">
        <v>0</v>
      </c>
      <c r="O235" s="285"/>
      <c r="P235" s="285"/>
      <c r="Q235" s="285"/>
      <c r="R235" s="285">
        <v>0</v>
      </c>
      <c r="S235" s="285"/>
      <c r="T235" s="285"/>
      <c r="U235" s="285"/>
      <c r="V235" s="285">
        <v>0</v>
      </c>
      <c r="W235" s="285"/>
      <c r="X235" s="285"/>
      <c r="Y235" s="285"/>
      <c r="Z235" s="285">
        <v>0</v>
      </c>
      <c r="AA235" s="285"/>
      <c r="AB235" s="285"/>
      <c r="AC235" s="285"/>
      <c r="AD235" s="285">
        <v>0</v>
      </c>
      <c r="AE235" s="285"/>
      <c r="AF235" s="285"/>
      <c r="AG235" s="285"/>
      <c r="AH235" s="285">
        <v>0</v>
      </c>
      <c r="AI235" s="224">
        <f t="shared" si="23"/>
        <v>0</v>
      </c>
      <c r="AJ235" s="224">
        <f t="shared" si="24"/>
        <v>0</v>
      </c>
      <c r="AK235" s="224">
        <f t="shared" si="25"/>
        <v>0</v>
      </c>
      <c r="AL235" s="224">
        <f t="shared" si="21"/>
        <v>0</v>
      </c>
      <c r="AM235" s="225">
        <f t="shared" si="22"/>
        <v>0</v>
      </c>
    </row>
    <row r="236" spans="1:39" s="271" customFormat="1" ht="20.100000000000001" hidden="1" customHeight="1" x14ac:dyDescent="0.2">
      <c r="A236" s="234" t="s">
        <v>375</v>
      </c>
      <c r="B236" s="254"/>
      <c r="C236" s="254"/>
      <c r="D236" s="254"/>
      <c r="E236" s="254"/>
      <c r="F236" s="279"/>
      <c r="G236" s="292"/>
      <c r="H236" s="292"/>
      <c r="I236" s="292"/>
      <c r="J236" s="288"/>
      <c r="K236" s="288"/>
      <c r="L236" s="288"/>
      <c r="M236" s="288"/>
      <c r="N236" s="286"/>
      <c r="O236" s="286"/>
      <c r="P236" s="286"/>
      <c r="Q236" s="286"/>
      <c r="R236" s="288"/>
      <c r="S236" s="288"/>
      <c r="T236" s="288"/>
      <c r="U236" s="288"/>
      <c r="V236" s="288"/>
      <c r="W236" s="288"/>
      <c r="X236" s="288"/>
      <c r="Y236" s="288"/>
      <c r="Z236" s="288"/>
      <c r="AA236" s="288"/>
      <c r="AB236" s="288"/>
      <c r="AC236" s="288"/>
      <c r="AD236" s="288"/>
      <c r="AE236" s="288"/>
      <c r="AF236" s="288"/>
      <c r="AG236" s="288"/>
      <c r="AH236" s="288"/>
      <c r="AI236" s="224">
        <f t="shared" si="23"/>
        <v>0</v>
      </c>
      <c r="AJ236" s="224">
        <f t="shared" si="24"/>
        <v>0</v>
      </c>
      <c r="AK236" s="224">
        <f t="shared" si="25"/>
        <v>0</v>
      </c>
      <c r="AL236" s="224">
        <f t="shared" si="21"/>
        <v>0</v>
      </c>
      <c r="AM236" s="225">
        <f t="shared" si="22"/>
        <v>0</v>
      </c>
    </row>
    <row r="237" spans="1:39" s="261" customFormat="1" ht="20.100000000000001" hidden="1" customHeight="1" x14ac:dyDescent="0.2">
      <c r="A237" s="234" t="s">
        <v>376</v>
      </c>
      <c r="B237" s="235"/>
      <c r="C237" s="235"/>
      <c r="D237" s="235"/>
      <c r="E237" s="235"/>
      <c r="F237" s="279"/>
      <c r="G237" s="279"/>
      <c r="H237" s="279"/>
      <c r="I237" s="279"/>
      <c r="J237" s="280"/>
      <c r="K237" s="280"/>
      <c r="L237" s="280"/>
      <c r="M237" s="280"/>
      <c r="N237" s="283"/>
      <c r="O237" s="283"/>
      <c r="P237" s="283"/>
      <c r="Q237" s="283"/>
      <c r="R237" s="280"/>
      <c r="S237" s="280"/>
      <c r="T237" s="280"/>
      <c r="U237" s="280"/>
      <c r="V237" s="280"/>
      <c r="W237" s="280"/>
      <c r="X237" s="280"/>
      <c r="Y237" s="280"/>
      <c r="Z237" s="280"/>
      <c r="AA237" s="280"/>
      <c r="AB237" s="280"/>
      <c r="AC237" s="280"/>
      <c r="AD237" s="280"/>
      <c r="AE237" s="280"/>
      <c r="AF237" s="280"/>
      <c r="AG237" s="280"/>
      <c r="AH237" s="280"/>
      <c r="AI237" s="224">
        <f t="shared" si="23"/>
        <v>0</v>
      </c>
      <c r="AJ237" s="224">
        <f t="shared" si="24"/>
        <v>0</v>
      </c>
      <c r="AK237" s="224">
        <f t="shared" si="25"/>
        <v>0</v>
      </c>
      <c r="AL237" s="224">
        <f t="shared" si="21"/>
        <v>0</v>
      </c>
      <c r="AM237" s="225">
        <f t="shared" si="22"/>
        <v>0</v>
      </c>
    </row>
    <row r="238" spans="1:39" s="261" customFormat="1" ht="20.100000000000001" hidden="1" customHeight="1" x14ac:dyDescent="0.2">
      <c r="A238" s="234" t="s">
        <v>377</v>
      </c>
      <c r="B238" s="235"/>
      <c r="C238" s="235"/>
      <c r="D238" s="235"/>
      <c r="E238" s="235"/>
      <c r="F238" s="279"/>
      <c r="G238" s="279"/>
      <c r="H238" s="279"/>
      <c r="I238" s="279"/>
      <c r="J238" s="280"/>
      <c r="K238" s="280"/>
      <c r="L238" s="280"/>
      <c r="M238" s="280"/>
      <c r="N238" s="283"/>
      <c r="O238" s="283"/>
      <c r="P238" s="283"/>
      <c r="Q238" s="283"/>
      <c r="R238" s="280"/>
      <c r="S238" s="280"/>
      <c r="T238" s="280"/>
      <c r="U238" s="280"/>
      <c r="V238" s="280"/>
      <c r="W238" s="280"/>
      <c r="X238" s="280"/>
      <c r="Y238" s="280"/>
      <c r="Z238" s="280"/>
      <c r="AA238" s="280"/>
      <c r="AB238" s="280"/>
      <c r="AC238" s="280"/>
      <c r="AD238" s="280"/>
      <c r="AE238" s="280"/>
      <c r="AF238" s="280"/>
      <c r="AG238" s="280"/>
      <c r="AH238" s="280"/>
      <c r="AI238" s="224">
        <f t="shared" si="23"/>
        <v>0</v>
      </c>
      <c r="AJ238" s="224">
        <f t="shared" si="24"/>
        <v>0</v>
      </c>
      <c r="AK238" s="224">
        <f t="shared" si="25"/>
        <v>0</v>
      </c>
      <c r="AL238" s="224">
        <f t="shared" si="21"/>
        <v>0</v>
      </c>
      <c r="AM238" s="225">
        <f t="shared" si="22"/>
        <v>0</v>
      </c>
    </row>
    <row r="239" spans="1:39" s="261" customFormat="1" ht="20.100000000000001" hidden="1" customHeight="1" x14ac:dyDescent="0.2">
      <c r="A239" s="234" t="s">
        <v>378</v>
      </c>
      <c r="B239" s="235"/>
      <c r="C239" s="235"/>
      <c r="D239" s="235"/>
      <c r="E239" s="235"/>
      <c r="F239" s="283"/>
      <c r="G239" s="283"/>
      <c r="H239" s="283"/>
      <c r="I239" s="283"/>
      <c r="J239" s="283"/>
      <c r="K239" s="283"/>
      <c r="L239" s="283"/>
      <c r="M239" s="283"/>
      <c r="N239" s="283"/>
      <c r="O239" s="283"/>
      <c r="P239" s="283"/>
      <c r="Q239" s="283"/>
      <c r="R239" s="280"/>
      <c r="S239" s="280"/>
      <c r="T239" s="280"/>
      <c r="U239" s="280"/>
      <c r="V239" s="280"/>
      <c r="W239" s="280"/>
      <c r="X239" s="280"/>
      <c r="Y239" s="280"/>
      <c r="Z239" s="280"/>
      <c r="AA239" s="280"/>
      <c r="AB239" s="280"/>
      <c r="AC239" s="280"/>
      <c r="AD239" s="280"/>
      <c r="AE239" s="280"/>
      <c r="AF239" s="280"/>
      <c r="AG239" s="280"/>
      <c r="AH239" s="280"/>
      <c r="AI239" s="224">
        <f t="shared" si="23"/>
        <v>0</v>
      </c>
      <c r="AJ239" s="224">
        <f t="shared" si="24"/>
        <v>0</v>
      </c>
      <c r="AK239" s="224">
        <f t="shared" si="25"/>
        <v>0</v>
      </c>
      <c r="AL239" s="224">
        <f t="shared" si="21"/>
        <v>0</v>
      </c>
      <c r="AM239" s="225">
        <f t="shared" si="22"/>
        <v>0</v>
      </c>
    </row>
    <row r="240" spans="1:39" s="261" customFormat="1" ht="20.100000000000001" hidden="1" customHeight="1" x14ac:dyDescent="0.2">
      <c r="A240" s="234" t="s">
        <v>379</v>
      </c>
      <c r="B240" s="235"/>
      <c r="C240" s="235"/>
      <c r="D240" s="235"/>
      <c r="E240" s="235"/>
      <c r="F240" s="279"/>
      <c r="G240" s="279"/>
      <c r="H240" s="279"/>
      <c r="I240" s="279"/>
      <c r="J240" s="280"/>
      <c r="K240" s="280"/>
      <c r="L240" s="280"/>
      <c r="M240" s="280"/>
      <c r="N240" s="280"/>
      <c r="O240" s="280"/>
      <c r="P240" s="280"/>
      <c r="Q240" s="280"/>
      <c r="R240" s="280"/>
      <c r="S240" s="280"/>
      <c r="T240" s="280"/>
      <c r="U240" s="280"/>
      <c r="V240" s="280"/>
      <c r="W240" s="280"/>
      <c r="X240" s="280"/>
      <c r="Y240" s="280"/>
      <c r="Z240" s="280"/>
      <c r="AA240" s="280"/>
      <c r="AB240" s="280"/>
      <c r="AC240" s="280"/>
      <c r="AD240" s="280"/>
      <c r="AE240" s="280"/>
      <c r="AF240" s="280"/>
      <c r="AG240" s="280"/>
      <c r="AH240" s="280"/>
      <c r="AI240" s="224">
        <f t="shared" si="23"/>
        <v>0</v>
      </c>
      <c r="AJ240" s="224">
        <f t="shared" si="24"/>
        <v>0</v>
      </c>
      <c r="AK240" s="224">
        <f t="shared" si="25"/>
        <v>0</v>
      </c>
      <c r="AL240" s="224">
        <f t="shared" si="21"/>
        <v>0</v>
      </c>
      <c r="AM240" s="225">
        <f t="shared" si="22"/>
        <v>0</v>
      </c>
    </row>
    <row r="241" spans="1:39" s="261" customFormat="1" ht="30.75" hidden="1" customHeight="1" x14ac:dyDescent="0.2">
      <c r="A241" s="234" t="s">
        <v>380</v>
      </c>
      <c r="B241" s="235"/>
      <c r="C241" s="235"/>
      <c r="D241" s="235"/>
      <c r="E241" s="235"/>
      <c r="F241" s="279"/>
      <c r="G241" s="279"/>
      <c r="H241" s="279"/>
      <c r="I241" s="279"/>
      <c r="J241" s="280"/>
      <c r="K241" s="280"/>
      <c r="L241" s="280"/>
      <c r="M241" s="280"/>
      <c r="N241" s="280"/>
      <c r="O241" s="280"/>
      <c r="P241" s="280"/>
      <c r="Q241" s="280"/>
      <c r="R241" s="280"/>
      <c r="S241" s="280"/>
      <c r="T241" s="280"/>
      <c r="U241" s="280"/>
      <c r="V241" s="280"/>
      <c r="W241" s="280"/>
      <c r="X241" s="280"/>
      <c r="Y241" s="280"/>
      <c r="Z241" s="280"/>
      <c r="AA241" s="280"/>
      <c r="AB241" s="280"/>
      <c r="AC241" s="280"/>
      <c r="AD241" s="280"/>
      <c r="AE241" s="280"/>
      <c r="AF241" s="280"/>
      <c r="AG241" s="280"/>
      <c r="AH241" s="280"/>
      <c r="AI241" s="224">
        <f t="shared" si="23"/>
        <v>0</v>
      </c>
      <c r="AJ241" s="224">
        <f t="shared" si="24"/>
        <v>0</v>
      </c>
      <c r="AK241" s="224">
        <f t="shared" si="25"/>
        <v>0</v>
      </c>
      <c r="AL241" s="224">
        <f t="shared" si="21"/>
        <v>0</v>
      </c>
      <c r="AM241" s="225">
        <f t="shared" si="22"/>
        <v>0</v>
      </c>
    </row>
    <row r="242" spans="1:39" s="261" customFormat="1" ht="29.25" hidden="1" customHeight="1" x14ac:dyDescent="0.2">
      <c r="A242" s="234" t="s">
        <v>381</v>
      </c>
      <c r="B242" s="235"/>
      <c r="C242" s="235"/>
      <c r="D242" s="235"/>
      <c r="E242" s="235"/>
      <c r="F242" s="279"/>
      <c r="G242" s="279"/>
      <c r="H242" s="279"/>
      <c r="I242" s="279"/>
      <c r="J242" s="280"/>
      <c r="K242" s="280"/>
      <c r="L242" s="280"/>
      <c r="M242" s="280"/>
      <c r="N242" s="280"/>
      <c r="O242" s="280"/>
      <c r="P242" s="280"/>
      <c r="Q242" s="280"/>
      <c r="R242" s="280"/>
      <c r="S242" s="280"/>
      <c r="T242" s="280"/>
      <c r="U242" s="280"/>
      <c r="V242" s="280"/>
      <c r="W242" s="280"/>
      <c r="X242" s="280"/>
      <c r="Y242" s="280"/>
      <c r="Z242" s="280"/>
      <c r="AA242" s="280"/>
      <c r="AB242" s="280"/>
      <c r="AC242" s="280"/>
      <c r="AD242" s="280"/>
      <c r="AE242" s="280"/>
      <c r="AF242" s="280"/>
      <c r="AG242" s="280"/>
      <c r="AH242" s="280"/>
      <c r="AI242" s="224">
        <f t="shared" si="23"/>
        <v>0</v>
      </c>
      <c r="AJ242" s="224">
        <f t="shared" si="24"/>
        <v>0</v>
      </c>
      <c r="AK242" s="224">
        <f t="shared" si="25"/>
        <v>0</v>
      </c>
      <c r="AL242" s="224">
        <f t="shared" si="21"/>
        <v>0</v>
      </c>
      <c r="AM242" s="225">
        <f t="shared" si="22"/>
        <v>0</v>
      </c>
    </row>
    <row r="243" spans="1:39" s="261" customFormat="1" ht="20.100000000000001" hidden="1" customHeight="1" x14ac:dyDescent="0.2">
      <c r="A243" s="234" t="s">
        <v>382</v>
      </c>
      <c r="B243" s="235"/>
      <c r="C243" s="235"/>
      <c r="D243" s="235"/>
      <c r="E243" s="235"/>
      <c r="F243" s="279"/>
      <c r="G243" s="279"/>
      <c r="H243" s="279"/>
      <c r="I243" s="279"/>
      <c r="J243" s="280"/>
      <c r="K243" s="280"/>
      <c r="L243" s="280"/>
      <c r="M243" s="280"/>
      <c r="N243" s="280"/>
      <c r="O243" s="280"/>
      <c r="P243" s="280"/>
      <c r="Q243" s="280"/>
      <c r="R243" s="280"/>
      <c r="S243" s="280"/>
      <c r="T243" s="280"/>
      <c r="U243" s="280"/>
      <c r="V243" s="280"/>
      <c r="W243" s="280"/>
      <c r="X243" s="280"/>
      <c r="Y243" s="280"/>
      <c r="Z243" s="280"/>
      <c r="AA243" s="280"/>
      <c r="AB243" s="280"/>
      <c r="AC243" s="280"/>
      <c r="AD243" s="280"/>
      <c r="AE243" s="280"/>
      <c r="AF243" s="280"/>
      <c r="AG243" s="280"/>
      <c r="AH243" s="280"/>
      <c r="AI243" s="224">
        <f t="shared" si="23"/>
        <v>0</v>
      </c>
      <c r="AJ243" s="224">
        <f t="shared" si="24"/>
        <v>0</v>
      </c>
      <c r="AK243" s="224">
        <f t="shared" si="25"/>
        <v>0</v>
      </c>
      <c r="AL243" s="224">
        <f t="shared" si="21"/>
        <v>0</v>
      </c>
      <c r="AM243" s="225">
        <f t="shared" si="22"/>
        <v>0</v>
      </c>
    </row>
    <row r="244" spans="1:39" s="261" customFormat="1" ht="20.100000000000001" hidden="1" customHeight="1" x14ac:dyDescent="0.2">
      <c r="A244" s="234" t="s">
        <v>383</v>
      </c>
      <c r="B244" s="235"/>
      <c r="C244" s="235"/>
      <c r="D244" s="235"/>
      <c r="E244" s="235"/>
      <c r="F244" s="279"/>
      <c r="G244" s="279"/>
      <c r="H244" s="279"/>
      <c r="I244" s="279"/>
      <c r="J244" s="280"/>
      <c r="K244" s="280"/>
      <c r="L244" s="280"/>
      <c r="M244" s="280"/>
      <c r="N244" s="280"/>
      <c r="O244" s="280"/>
      <c r="P244" s="280"/>
      <c r="Q244" s="280"/>
      <c r="R244" s="280"/>
      <c r="S244" s="280"/>
      <c r="T244" s="280"/>
      <c r="U244" s="280"/>
      <c r="V244" s="280"/>
      <c r="W244" s="280"/>
      <c r="X244" s="280"/>
      <c r="Y244" s="280"/>
      <c r="Z244" s="280"/>
      <c r="AA244" s="280"/>
      <c r="AB244" s="280"/>
      <c r="AC244" s="280"/>
      <c r="AD244" s="280"/>
      <c r="AE244" s="280"/>
      <c r="AF244" s="280"/>
      <c r="AG244" s="280"/>
      <c r="AH244" s="280"/>
      <c r="AI244" s="224">
        <f t="shared" si="23"/>
        <v>0</v>
      </c>
      <c r="AJ244" s="224">
        <f t="shared" si="24"/>
        <v>0</v>
      </c>
      <c r="AK244" s="224">
        <f t="shared" si="25"/>
        <v>0</v>
      </c>
      <c r="AL244" s="224">
        <f t="shared" si="21"/>
        <v>0</v>
      </c>
      <c r="AM244" s="225">
        <f t="shared" si="22"/>
        <v>0</v>
      </c>
    </row>
    <row r="245" spans="1:39" s="253" customFormat="1" ht="27.75" customHeight="1" x14ac:dyDescent="0.2">
      <c r="A245" s="1061" t="s">
        <v>384</v>
      </c>
      <c r="B245" s="310"/>
      <c r="C245" s="310">
        <v>0</v>
      </c>
      <c r="D245" s="310">
        <v>0</v>
      </c>
      <c r="E245" s="310">
        <v>15655.294</v>
      </c>
      <c r="F245" s="347">
        <v>0</v>
      </c>
      <c r="G245" s="1071"/>
      <c r="H245" s="1071"/>
      <c r="I245" s="1071"/>
      <c r="J245" s="1071">
        <v>0</v>
      </c>
      <c r="K245" s="1071"/>
      <c r="L245" s="1071"/>
      <c r="M245" s="1071"/>
      <c r="N245" s="1071">
        <v>0</v>
      </c>
      <c r="O245" s="1071"/>
      <c r="P245" s="1071"/>
      <c r="Q245" s="1071"/>
      <c r="R245" s="1071">
        <v>0</v>
      </c>
      <c r="S245" s="1071"/>
      <c r="T245" s="1071"/>
      <c r="U245" s="1071"/>
      <c r="V245" s="1071">
        <v>0</v>
      </c>
      <c r="W245" s="1071"/>
      <c r="X245" s="1071"/>
      <c r="Y245" s="1071"/>
      <c r="Z245" s="1071">
        <v>0</v>
      </c>
      <c r="AA245" s="1071"/>
      <c r="AB245" s="1071"/>
      <c r="AC245" s="1071"/>
      <c r="AD245" s="1071">
        <v>0</v>
      </c>
      <c r="AE245" s="1071"/>
      <c r="AF245" s="1071"/>
      <c r="AG245" s="1071"/>
      <c r="AH245" s="1071">
        <v>0</v>
      </c>
      <c r="AI245" s="224">
        <f t="shared" si="23"/>
        <v>0</v>
      </c>
      <c r="AJ245" s="224">
        <f t="shared" si="24"/>
        <v>0</v>
      </c>
      <c r="AK245" s="224">
        <f t="shared" si="25"/>
        <v>15655.294</v>
      </c>
      <c r="AL245" s="224">
        <f t="shared" si="21"/>
        <v>0</v>
      </c>
      <c r="AM245" s="225">
        <f t="shared" si="22"/>
        <v>0</v>
      </c>
    </row>
    <row r="246" spans="1:39" s="264" customFormat="1" ht="20.100000000000001" hidden="1" customHeight="1" x14ac:dyDescent="0.2">
      <c r="A246" s="234" t="s">
        <v>385</v>
      </c>
      <c r="B246" s="254"/>
      <c r="C246" s="254"/>
      <c r="D246" s="254"/>
      <c r="E246" s="254"/>
      <c r="F246" s="255"/>
      <c r="G246" s="256"/>
      <c r="H246" s="256"/>
      <c r="I246" s="256"/>
      <c r="J246" s="257"/>
      <c r="K246" s="257"/>
      <c r="L246" s="257"/>
      <c r="M246" s="257"/>
      <c r="N246" s="257"/>
      <c r="O246" s="257"/>
      <c r="P246" s="257"/>
      <c r="Q246" s="257"/>
      <c r="R246" s="257"/>
      <c r="S246" s="257"/>
      <c r="T246" s="257"/>
      <c r="U246" s="257"/>
      <c r="V246" s="257"/>
      <c r="W246" s="257"/>
      <c r="X246" s="257"/>
      <c r="Y246" s="257"/>
      <c r="Z246" s="257"/>
      <c r="AA246" s="257"/>
      <c r="AB246" s="257"/>
      <c r="AC246" s="257"/>
      <c r="AD246" s="257"/>
      <c r="AE246" s="257"/>
      <c r="AF246" s="257"/>
      <c r="AG246" s="257"/>
      <c r="AH246" s="257"/>
      <c r="AI246" s="224">
        <f t="shared" si="23"/>
        <v>0</v>
      </c>
      <c r="AJ246" s="224">
        <f t="shared" si="24"/>
        <v>0</v>
      </c>
      <c r="AK246" s="224">
        <f t="shared" si="25"/>
        <v>0</v>
      </c>
      <c r="AL246" s="224">
        <f t="shared" si="21"/>
        <v>0</v>
      </c>
      <c r="AM246" s="225">
        <f t="shared" si="22"/>
        <v>0</v>
      </c>
    </row>
    <row r="247" spans="1:39" s="238" customFormat="1" ht="20.100000000000001" hidden="1" customHeight="1" x14ac:dyDescent="0.2">
      <c r="A247" s="234" t="s">
        <v>386</v>
      </c>
      <c r="B247" s="235"/>
      <c r="C247" s="235"/>
      <c r="D247" s="235"/>
      <c r="E247" s="235"/>
      <c r="F247" s="255"/>
      <c r="G247" s="255"/>
      <c r="H247" s="255"/>
      <c r="I247" s="255"/>
      <c r="J247" s="259"/>
      <c r="K247" s="259"/>
      <c r="L247" s="259"/>
      <c r="M247" s="259"/>
      <c r="N247" s="259"/>
      <c r="O247" s="259"/>
      <c r="P247" s="259"/>
      <c r="Q247" s="259"/>
      <c r="R247" s="259"/>
      <c r="S247" s="259"/>
      <c r="T247" s="259"/>
      <c r="U247" s="259"/>
      <c r="V247" s="259"/>
      <c r="W247" s="259"/>
      <c r="X247" s="259"/>
      <c r="Y247" s="259"/>
      <c r="Z247" s="259"/>
      <c r="AA247" s="259"/>
      <c r="AB247" s="259"/>
      <c r="AC247" s="259"/>
      <c r="AD247" s="259"/>
      <c r="AE247" s="259"/>
      <c r="AF247" s="259"/>
      <c r="AG247" s="259"/>
      <c r="AH247" s="259"/>
      <c r="AI247" s="224">
        <f t="shared" si="23"/>
        <v>0</v>
      </c>
      <c r="AJ247" s="224">
        <f t="shared" si="24"/>
        <v>0</v>
      </c>
      <c r="AK247" s="224">
        <f t="shared" si="25"/>
        <v>0</v>
      </c>
      <c r="AL247" s="224">
        <f t="shared" si="21"/>
        <v>0</v>
      </c>
      <c r="AM247" s="225">
        <f t="shared" si="22"/>
        <v>0</v>
      </c>
    </row>
    <row r="248" spans="1:39" s="238" customFormat="1" ht="20.100000000000001" hidden="1" customHeight="1" x14ac:dyDescent="0.2">
      <c r="A248" s="234" t="s">
        <v>387</v>
      </c>
      <c r="B248" s="235"/>
      <c r="C248" s="235"/>
      <c r="D248" s="235"/>
      <c r="E248" s="236">
        <v>927.29399999999998</v>
      </c>
      <c r="F248" s="255">
        <v>0</v>
      </c>
      <c r="G248" s="255"/>
      <c r="H248" s="255"/>
      <c r="I248" s="255"/>
      <c r="J248" s="259"/>
      <c r="K248" s="259"/>
      <c r="L248" s="259"/>
      <c r="M248" s="259"/>
      <c r="N248" s="259"/>
      <c r="O248" s="259"/>
      <c r="P248" s="259"/>
      <c r="Q248" s="259"/>
      <c r="R248" s="259"/>
      <c r="S248" s="259"/>
      <c r="T248" s="259"/>
      <c r="U248" s="259"/>
      <c r="V248" s="259"/>
      <c r="W248" s="259"/>
      <c r="X248" s="259"/>
      <c r="Y248" s="259"/>
      <c r="Z248" s="259"/>
      <c r="AA248" s="259"/>
      <c r="AB248" s="259"/>
      <c r="AC248" s="259"/>
      <c r="AD248" s="259"/>
      <c r="AE248" s="259"/>
      <c r="AF248" s="259"/>
      <c r="AG248" s="259"/>
      <c r="AH248" s="259"/>
      <c r="AI248" s="224">
        <f t="shared" si="23"/>
        <v>0</v>
      </c>
      <c r="AJ248" s="224">
        <f t="shared" si="24"/>
        <v>0</v>
      </c>
      <c r="AK248" s="224">
        <f t="shared" si="25"/>
        <v>927.29399999999998</v>
      </c>
      <c r="AL248" s="224">
        <f t="shared" si="21"/>
        <v>0</v>
      </c>
      <c r="AM248" s="225">
        <f t="shared" si="22"/>
        <v>0</v>
      </c>
    </row>
    <row r="249" spans="1:39" s="238" customFormat="1" ht="20.100000000000001" hidden="1" customHeight="1" x14ac:dyDescent="0.2">
      <c r="A249" s="234" t="s">
        <v>388</v>
      </c>
      <c r="B249" s="235"/>
      <c r="C249" s="235"/>
      <c r="D249" s="235"/>
      <c r="E249" s="236"/>
      <c r="F249" s="283"/>
      <c r="G249" s="283"/>
      <c r="H249" s="283"/>
      <c r="I249" s="283"/>
      <c r="J249" s="284"/>
      <c r="K249" s="284"/>
      <c r="L249" s="284"/>
      <c r="M249" s="284"/>
      <c r="N249" s="284"/>
      <c r="O249" s="284"/>
      <c r="P249" s="284"/>
      <c r="Q249" s="284"/>
      <c r="R249" s="259"/>
      <c r="S249" s="259"/>
      <c r="T249" s="259"/>
      <c r="U249" s="259"/>
      <c r="V249" s="259"/>
      <c r="W249" s="259"/>
      <c r="X249" s="259"/>
      <c r="Y249" s="259"/>
      <c r="Z249" s="259"/>
      <c r="AA249" s="259"/>
      <c r="AB249" s="259"/>
      <c r="AC249" s="259"/>
      <c r="AD249" s="259"/>
      <c r="AE249" s="259"/>
      <c r="AF249" s="259"/>
      <c r="AG249" s="259"/>
      <c r="AH249" s="259"/>
      <c r="AI249" s="224">
        <f t="shared" si="23"/>
        <v>0</v>
      </c>
      <c r="AJ249" s="224">
        <f t="shared" si="24"/>
        <v>0</v>
      </c>
      <c r="AK249" s="224">
        <f t="shared" si="25"/>
        <v>0</v>
      </c>
      <c r="AL249" s="224">
        <f t="shared" si="21"/>
        <v>0</v>
      </c>
      <c r="AM249" s="225">
        <f t="shared" si="22"/>
        <v>0</v>
      </c>
    </row>
    <row r="250" spans="1:39" s="238" customFormat="1" ht="20.100000000000001" hidden="1" customHeight="1" x14ac:dyDescent="0.2">
      <c r="A250" s="234" t="s">
        <v>389</v>
      </c>
      <c r="B250" s="235"/>
      <c r="C250" s="235"/>
      <c r="D250" s="235"/>
      <c r="E250" s="236"/>
      <c r="F250" s="255"/>
      <c r="G250" s="255"/>
      <c r="H250" s="255"/>
      <c r="I250" s="255"/>
      <c r="J250" s="259"/>
      <c r="K250" s="259"/>
      <c r="L250" s="259"/>
      <c r="M250" s="259"/>
      <c r="N250" s="259"/>
      <c r="O250" s="259"/>
      <c r="P250" s="259"/>
      <c r="Q250" s="259"/>
      <c r="R250" s="259"/>
      <c r="S250" s="259"/>
      <c r="T250" s="259"/>
      <c r="U250" s="259"/>
      <c r="V250" s="259"/>
      <c r="W250" s="259"/>
      <c r="X250" s="259"/>
      <c r="Y250" s="259"/>
      <c r="Z250" s="259"/>
      <c r="AA250" s="259"/>
      <c r="AB250" s="259"/>
      <c r="AC250" s="259"/>
      <c r="AD250" s="259"/>
      <c r="AE250" s="259"/>
      <c r="AF250" s="259"/>
      <c r="AG250" s="259"/>
      <c r="AH250" s="259"/>
      <c r="AI250" s="224">
        <f t="shared" si="23"/>
        <v>0</v>
      </c>
      <c r="AJ250" s="224">
        <f t="shared" si="24"/>
        <v>0</v>
      </c>
      <c r="AK250" s="224">
        <f t="shared" si="25"/>
        <v>0</v>
      </c>
      <c r="AL250" s="224">
        <f t="shared" si="21"/>
        <v>0</v>
      </c>
      <c r="AM250" s="225">
        <f t="shared" si="22"/>
        <v>0</v>
      </c>
    </row>
    <row r="251" spans="1:39" s="238" customFormat="1" ht="30.75" hidden="1" customHeight="1" x14ac:dyDescent="0.2">
      <c r="A251" s="234" t="s">
        <v>390</v>
      </c>
      <c r="B251" s="235"/>
      <c r="C251" s="235"/>
      <c r="D251" s="235"/>
      <c r="E251" s="236">
        <v>4068</v>
      </c>
      <c r="F251" s="255"/>
      <c r="G251" s="255"/>
      <c r="H251" s="255"/>
      <c r="I251" s="255"/>
      <c r="J251" s="259"/>
      <c r="K251" s="259"/>
      <c r="L251" s="259"/>
      <c r="M251" s="259"/>
      <c r="N251" s="259"/>
      <c r="O251" s="259"/>
      <c r="P251" s="259"/>
      <c r="Q251" s="259"/>
      <c r="R251" s="259"/>
      <c r="S251" s="259"/>
      <c r="T251" s="259"/>
      <c r="U251" s="259"/>
      <c r="V251" s="259"/>
      <c r="W251" s="259"/>
      <c r="X251" s="259"/>
      <c r="Y251" s="259"/>
      <c r="Z251" s="259"/>
      <c r="AA251" s="259"/>
      <c r="AB251" s="259"/>
      <c r="AC251" s="259"/>
      <c r="AD251" s="259"/>
      <c r="AE251" s="259"/>
      <c r="AF251" s="259"/>
      <c r="AG251" s="259"/>
      <c r="AH251" s="259"/>
      <c r="AI251" s="224">
        <f t="shared" si="23"/>
        <v>0</v>
      </c>
      <c r="AJ251" s="224">
        <f t="shared" si="24"/>
        <v>0</v>
      </c>
      <c r="AK251" s="224">
        <f t="shared" si="25"/>
        <v>4068</v>
      </c>
      <c r="AL251" s="224">
        <f t="shared" si="21"/>
        <v>0</v>
      </c>
      <c r="AM251" s="225">
        <f t="shared" si="22"/>
        <v>0</v>
      </c>
    </row>
    <row r="252" spans="1:39" s="238" customFormat="1" ht="30.75" hidden="1" customHeight="1" x14ac:dyDescent="0.2">
      <c r="A252" s="234" t="s">
        <v>391</v>
      </c>
      <c r="B252" s="235"/>
      <c r="C252" s="235"/>
      <c r="D252" s="235"/>
      <c r="E252" s="236"/>
      <c r="F252" s="255"/>
      <c r="G252" s="255"/>
      <c r="H252" s="255"/>
      <c r="I252" s="255"/>
      <c r="J252" s="259"/>
      <c r="K252" s="259"/>
      <c r="L252" s="259"/>
      <c r="M252" s="259"/>
      <c r="N252" s="259"/>
      <c r="O252" s="259"/>
      <c r="P252" s="259"/>
      <c r="Q252" s="259"/>
      <c r="R252" s="259"/>
      <c r="S252" s="259"/>
      <c r="T252" s="259"/>
      <c r="U252" s="259"/>
      <c r="V252" s="259"/>
      <c r="W252" s="259"/>
      <c r="X252" s="259"/>
      <c r="Y252" s="259"/>
      <c r="Z252" s="259"/>
      <c r="AA252" s="259"/>
      <c r="AB252" s="259"/>
      <c r="AC252" s="259"/>
      <c r="AD252" s="259"/>
      <c r="AE252" s="259"/>
      <c r="AF252" s="259"/>
      <c r="AG252" s="259"/>
      <c r="AH252" s="259"/>
      <c r="AI252" s="224">
        <f t="shared" si="23"/>
        <v>0</v>
      </c>
      <c r="AJ252" s="224">
        <f t="shared" si="24"/>
        <v>0</v>
      </c>
      <c r="AK252" s="224">
        <f t="shared" si="25"/>
        <v>0</v>
      </c>
      <c r="AL252" s="224">
        <f t="shared" si="21"/>
        <v>0</v>
      </c>
      <c r="AM252" s="225">
        <f t="shared" si="22"/>
        <v>0</v>
      </c>
    </row>
    <row r="253" spans="1:39" s="238" customFormat="1" ht="20.100000000000001" hidden="1" customHeight="1" x14ac:dyDescent="0.2">
      <c r="A253" s="234" t="s">
        <v>392</v>
      </c>
      <c r="B253" s="235"/>
      <c r="C253" s="235"/>
      <c r="D253" s="235"/>
      <c r="E253" s="236">
        <v>10660</v>
      </c>
      <c r="F253" s="344"/>
      <c r="G253" s="344"/>
      <c r="H253" s="344"/>
      <c r="I253" s="344"/>
      <c r="J253" s="259"/>
      <c r="K253" s="259"/>
      <c r="L253" s="259"/>
      <c r="M253" s="259"/>
      <c r="N253" s="259"/>
      <c r="O253" s="259"/>
      <c r="P253" s="259"/>
      <c r="Q253" s="259"/>
      <c r="R253" s="259"/>
      <c r="S253" s="259"/>
      <c r="T253" s="259"/>
      <c r="U253" s="259"/>
      <c r="V253" s="259"/>
      <c r="W253" s="259"/>
      <c r="X253" s="259"/>
      <c r="Y253" s="259"/>
      <c r="Z253" s="259"/>
      <c r="AA253" s="259"/>
      <c r="AB253" s="259"/>
      <c r="AC253" s="259"/>
      <c r="AD253" s="259"/>
      <c r="AE253" s="259"/>
      <c r="AF253" s="259"/>
      <c r="AG253" s="259"/>
      <c r="AH253" s="259"/>
      <c r="AI253" s="224">
        <f t="shared" si="23"/>
        <v>0</v>
      </c>
      <c r="AJ253" s="224">
        <f t="shared" si="24"/>
        <v>0</v>
      </c>
      <c r="AK253" s="224">
        <f t="shared" si="25"/>
        <v>10660</v>
      </c>
      <c r="AL253" s="224">
        <f t="shared" si="21"/>
        <v>0</v>
      </c>
      <c r="AM253" s="225">
        <f t="shared" si="22"/>
        <v>0</v>
      </c>
    </row>
    <row r="254" spans="1:39" s="238" customFormat="1" ht="20.100000000000001" hidden="1" customHeight="1" x14ac:dyDescent="0.2">
      <c r="A254" s="234" t="s">
        <v>393</v>
      </c>
      <c r="B254" s="235"/>
      <c r="C254" s="235"/>
      <c r="D254" s="235"/>
      <c r="E254" s="235"/>
      <c r="F254" s="255"/>
      <c r="G254" s="255"/>
      <c r="H254" s="255"/>
      <c r="I254" s="255"/>
      <c r="J254" s="259"/>
      <c r="K254" s="259"/>
      <c r="L254" s="259"/>
      <c r="M254" s="259"/>
      <c r="N254" s="259"/>
      <c r="O254" s="259"/>
      <c r="P254" s="259"/>
      <c r="Q254" s="259"/>
      <c r="R254" s="259"/>
      <c r="S254" s="259"/>
      <c r="T254" s="259"/>
      <c r="U254" s="259"/>
      <c r="V254" s="259"/>
      <c r="W254" s="259"/>
      <c r="X254" s="259"/>
      <c r="Y254" s="259"/>
      <c r="Z254" s="259"/>
      <c r="AA254" s="259"/>
      <c r="AB254" s="259"/>
      <c r="AC254" s="259"/>
      <c r="AD254" s="259"/>
      <c r="AE254" s="259"/>
      <c r="AF254" s="259"/>
      <c r="AG254" s="259"/>
      <c r="AH254" s="259"/>
      <c r="AI254" s="224">
        <f t="shared" si="23"/>
        <v>0</v>
      </c>
      <c r="AJ254" s="224">
        <f t="shared" si="24"/>
        <v>0</v>
      </c>
      <c r="AK254" s="224">
        <f t="shared" si="25"/>
        <v>0</v>
      </c>
      <c r="AL254" s="224">
        <f t="shared" si="21"/>
        <v>0</v>
      </c>
      <c r="AM254" s="225">
        <f t="shared" si="22"/>
        <v>0</v>
      </c>
    </row>
    <row r="255" spans="1:39" s="264" customFormat="1" ht="20.100000000000001" hidden="1" customHeight="1" x14ac:dyDescent="0.2">
      <c r="A255" s="234" t="s">
        <v>394</v>
      </c>
      <c r="B255" s="254"/>
      <c r="C255" s="254"/>
      <c r="D255" s="254"/>
      <c r="E255" s="254"/>
      <c r="F255" s="255"/>
      <c r="G255" s="256"/>
      <c r="H255" s="256"/>
      <c r="I255" s="256"/>
      <c r="J255" s="257"/>
      <c r="K255" s="257"/>
      <c r="L255" s="257"/>
      <c r="M255" s="257"/>
      <c r="N255" s="257"/>
      <c r="O255" s="257"/>
      <c r="P255" s="257"/>
      <c r="Q255" s="257"/>
      <c r="R255" s="257"/>
      <c r="S255" s="257"/>
      <c r="T255" s="257"/>
      <c r="U255" s="257"/>
      <c r="V255" s="257"/>
      <c r="W255" s="257"/>
      <c r="X255" s="257"/>
      <c r="Y255" s="257"/>
      <c r="Z255" s="257"/>
      <c r="AA255" s="257"/>
      <c r="AB255" s="257"/>
      <c r="AC255" s="257"/>
      <c r="AD255" s="257"/>
      <c r="AE255" s="257"/>
      <c r="AF255" s="257"/>
      <c r="AG255" s="257"/>
      <c r="AH255" s="257"/>
      <c r="AI255" s="224">
        <f t="shared" si="23"/>
        <v>0</v>
      </c>
      <c r="AJ255" s="224">
        <f t="shared" si="24"/>
        <v>0</v>
      </c>
      <c r="AK255" s="224">
        <f t="shared" si="25"/>
        <v>0</v>
      </c>
      <c r="AL255" s="224">
        <f t="shared" si="21"/>
        <v>0</v>
      </c>
      <c r="AM255" s="225">
        <f t="shared" si="22"/>
        <v>0</v>
      </c>
    </row>
    <row r="256" spans="1:39" s="275" customFormat="1" ht="20.100000000000001" hidden="1" customHeight="1" x14ac:dyDescent="0.2">
      <c r="A256" s="234" t="s">
        <v>395</v>
      </c>
      <c r="B256" s="272"/>
      <c r="C256" s="272"/>
      <c r="D256" s="272"/>
      <c r="E256" s="272"/>
      <c r="F256" s="255"/>
      <c r="G256" s="273"/>
      <c r="H256" s="273"/>
      <c r="I256" s="273"/>
      <c r="J256" s="274"/>
      <c r="K256" s="274"/>
      <c r="L256" s="274"/>
      <c r="M256" s="274"/>
      <c r="N256" s="274"/>
      <c r="O256" s="274"/>
      <c r="P256" s="274"/>
      <c r="Q256" s="274"/>
      <c r="R256" s="274"/>
      <c r="S256" s="274"/>
      <c r="T256" s="274"/>
      <c r="U256" s="274"/>
      <c r="V256" s="274"/>
      <c r="W256" s="274"/>
      <c r="X256" s="274"/>
      <c r="Y256" s="274"/>
      <c r="Z256" s="274"/>
      <c r="AA256" s="274"/>
      <c r="AB256" s="274"/>
      <c r="AC256" s="274"/>
      <c r="AD256" s="274"/>
      <c r="AE256" s="274"/>
      <c r="AF256" s="274"/>
      <c r="AG256" s="274"/>
      <c r="AH256" s="274"/>
      <c r="AI256" s="224">
        <f t="shared" si="23"/>
        <v>0</v>
      </c>
      <c r="AJ256" s="224">
        <f t="shared" si="24"/>
        <v>0</v>
      </c>
      <c r="AK256" s="224">
        <f t="shared" si="25"/>
        <v>0</v>
      </c>
      <c r="AL256" s="224">
        <f t="shared" si="21"/>
        <v>0</v>
      </c>
      <c r="AM256" s="225">
        <f t="shared" si="22"/>
        <v>0</v>
      </c>
    </row>
    <row r="257" spans="1:39" s="346" customFormat="1" ht="36" customHeight="1" thickBot="1" x14ac:dyDescent="0.3">
      <c r="A257" s="265" t="s">
        <v>396</v>
      </c>
      <c r="B257" s="345" t="s">
        <v>104</v>
      </c>
      <c r="C257" s="341">
        <f>+C245</f>
        <v>0</v>
      </c>
      <c r="D257" s="341">
        <f>+D245</f>
        <v>0</v>
      </c>
      <c r="E257" s="341">
        <v>15655.294</v>
      </c>
      <c r="F257" s="341">
        <v>0</v>
      </c>
      <c r="G257" s="341">
        <v>0</v>
      </c>
      <c r="H257" s="341">
        <v>0</v>
      </c>
      <c r="I257" s="341">
        <v>0</v>
      </c>
      <c r="J257" s="341">
        <v>0</v>
      </c>
      <c r="K257" s="341"/>
      <c r="L257" s="341"/>
      <c r="M257" s="341"/>
      <c r="N257" s="341">
        <v>0</v>
      </c>
      <c r="O257" s="341"/>
      <c r="P257" s="341"/>
      <c r="Q257" s="341"/>
      <c r="R257" s="341">
        <v>0</v>
      </c>
      <c r="S257" s="341"/>
      <c r="T257" s="341"/>
      <c r="U257" s="341"/>
      <c r="V257" s="341">
        <v>0</v>
      </c>
      <c r="W257" s="341"/>
      <c r="X257" s="341"/>
      <c r="Y257" s="341"/>
      <c r="Z257" s="341">
        <v>0</v>
      </c>
      <c r="AA257" s="341"/>
      <c r="AB257" s="341"/>
      <c r="AC257" s="341"/>
      <c r="AD257" s="341">
        <v>0</v>
      </c>
      <c r="AE257" s="341"/>
      <c r="AF257" s="341"/>
      <c r="AG257" s="341"/>
      <c r="AH257" s="341">
        <v>0</v>
      </c>
      <c r="AI257" s="224">
        <f t="shared" si="23"/>
        <v>0</v>
      </c>
      <c r="AJ257" s="224">
        <f t="shared" si="24"/>
        <v>0</v>
      </c>
      <c r="AK257" s="224">
        <f t="shared" si="25"/>
        <v>15655.294</v>
      </c>
      <c r="AL257" s="224">
        <f t="shared" si="21"/>
        <v>0</v>
      </c>
      <c r="AM257" s="225">
        <f t="shared" si="22"/>
        <v>0</v>
      </c>
    </row>
    <row r="258" spans="1:39" s="251" customFormat="1" ht="44.25" hidden="1" customHeight="1" x14ac:dyDescent="0.2">
      <c r="A258" s="269" t="s">
        <v>397</v>
      </c>
      <c r="B258" s="247"/>
      <c r="C258" s="247"/>
      <c r="D258" s="247"/>
      <c r="E258" s="247"/>
      <c r="F258" s="249"/>
      <c r="G258" s="249"/>
      <c r="H258" s="249"/>
      <c r="I258" s="249"/>
      <c r="J258" s="250"/>
      <c r="K258" s="250"/>
      <c r="L258" s="250"/>
      <c r="M258" s="250"/>
      <c r="N258" s="250"/>
      <c r="O258" s="250"/>
      <c r="P258" s="250"/>
      <c r="Q258" s="250"/>
      <c r="R258" s="250"/>
      <c r="S258" s="250"/>
      <c r="T258" s="250"/>
      <c r="U258" s="250"/>
      <c r="V258" s="250"/>
      <c r="W258" s="250"/>
      <c r="X258" s="250"/>
      <c r="Y258" s="250"/>
      <c r="Z258" s="342"/>
      <c r="AA258" s="342"/>
      <c r="AB258" s="342"/>
      <c r="AC258" s="342"/>
      <c r="AD258" s="250"/>
      <c r="AE258" s="250"/>
      <c r="AF258" s="250"/>
      <c r="AG258" s="250"/>
      <c r="AH258" s="342"/>
      <c r="AI258" s="224">
        <f t="shared" si="23"/>
        <v>0</v>
      </c>
      <c r="AJ258" s="224">
        <f t="shared" si="24"/>
        <v>0</v>
      </c>
      <c r="AK258" s="224">
        <f t="shared" si="25"/>
        <v>0</v>
      </c>
      <c r="AL258" s="224">
        <f t="shared" si="21"/>
        <v>0</v>
      </c>
      <c r="AM258" s="225">
        <f t="shared" si="22"/>
        <v>0</v>
      </c>
    </row>
    <row r="259" spans="1:39" s="335" customFormat="1" ht="38.25" hidden="1" customHeight="1" x14ac:dyDescent="0.2">
      <c r="A259" s="246" t="s">
        <v>398</v>
      </c>
      <c r="B259" s="310"/>
      <c r="C259" s="310"/>
      <c r="D259" s="310"/>
      <c r="E259" s="310"/>
      <c r="F259" s="248"/>
      <c r="G259" s="248"/>
      <c r="H259" s="248"/>
      <c r="I259" s="248"/>
      <c r="J259" s="321"/>
      <c r="K259" s="321"/>
      <c r="L259" s="321"/>
      <c r="M259" s="321"/>
      <c r="N259" s="321"/>
      <c r="O259" s="321"/>
      <c r="P259" s="321"/>
      <c r="Q259" s="321"/>
      <c r="R259" s="321"/>
      <c r="S259" s="321"/>
      <c r="T259" s="321"/>
      <c r="U259" s="321"/>
      <c r="V259" s="321"/>
      <c r="W259" s="321"/>
      <c r="X259" s="321"/>
      <c r="Y259" s="321"/>
      <c r="Z259" s="328"/>
      <c r="AA259" s="328"/>
      <c r="AB259" s="328"/>
      <c r="AC259" s="328"/>
      <c r="AD259" s="321"/>
      <c r="AE259" s="321"/>
      <c r="AF259" s="321"/>
      <c r="AG259" s="321"/>
      <c r="AH259" s="328"/>
      <c r="AI259" s="224">
        <f t="shared" si="23"/>
        <v>0</v>
      </c>
      <c r="AJ259" s="224">
        <f t="shared" si="24"/>
        <v>0</v>
      </c>
      <c r="AK259" s="224">
        <f t="shared" si="25"/>
        <v>0</v>
      </c>
      <c r="AL259" s="224">
        <f t="shared" si="21"/>
        <v>0</v>
      </c>
      <c r="AM259" s="225">
        <f t="shared" si="22"/>
        <v>0</v>
      </c>
    </row>
    <row r="260" spans="1:39" s="335" customFormat="1" ht="43.5" hidden="1" customHeight="1" x14ac:dyDescent="0.2">
      <c r="A260" s="246" t="s">
        <v>399</v>
      </c>
      <c r="B260" s="310"/>
      <c r="C260" s="310"/>
      <c r="D260" s="310"/>
      <c r="E260" s="310"/>
      <c r="F260" s="248"/>
      <c r="G260" s="248"/>
      <c r="H260" s="248"/>
      <c r="I260" s="248"/>
      <c r="J260" s="321"/>
      <c r="K260" s="321"/>
      <c r="L260" s="321"/>
      <c r="M260" s="321"/>
      <c r="N260" s="321"/>
      <c r="O260" s="321"/>
      <c r="P260" s="321"/>
      <c r="Q260" s="321"/>
      <c r="R260" s="321"/>
      <c r="S260" s="321"/>
      <c r="T260" s="321"/>
      <c r="U260" s="321"/>
      <c r="V260" s="321"/>
      <c r="W260" s="321"/>
      <c r="X260" s="321"/>
      <c r="Y260" s="321"/>
      <c r="Z260" s="328"/>
      <c r="AA260" s="328"/>
      <c r="AB260" s="328"/>
      <c r="AC260" s="328"/>
      <c r="AD260" s="321"/>
      <c r="AE260" s="321"/>
      <c r="AF260" s="321"/>
      <c r="AG260" s="321"/>
      <c r="AH260" s="328"/>
      <c r="AI260" s="224">
        <f t="shared" si="23"/>
        <v>0</v>
      </c>
      <c r="AJ260" s="224">
        <f t="shared" si="24"/>
        <v>0</v>
      </c>
      <c r="AK260" s="224">
        <f t="shared" si="25"/>
        <v>0</v>
      </c>
      <c r="AL260" s="224">
        <f t="shared" ref="AL260:AL317" si="40">F260+J260+N260+R260+V260+Z260+AD260+AH260</f>
        <v>0</v>
      </c>
      <c r="AM260" s="225">
        <f t="shared" ref="AM260:AM318" si="41">J260+N260+R260+V260+Z260+AD260+AH260</f>
        <v>0</v>
      </c>
    </row>
    <row r="261" spans="1:39" s="253" customFormat="1" ht="60" customHeight="1" x14ac:dyDescent="0.2">
      <c r="A261" s="242" t="s">
        <v>400</v>
      </c>
      <c r="B261" s="252"/>
      <c r="C261" s="252">
        <f>+C265</f>
        <v>9000</v>
      </c>
      <c r="D261" s="252">
        <f>+D265</f>
        <v>9000</v>
      </c>
      <c r="E261" s="252">
        <v>9211.7330000000002</v>
      </c>
      <c r="F261" s="285">
        <v>9000</v>
      </c>
      <c r="G261" s="285"/>
      <c r="H261" s="285"/>
      <c r="I261" s="285"/>
      <c r="J261" s="285">
        <v>0</v>
      </c>
      <c r="K261" s="285"/>
      <c r="L261" s="285"/>
      <c r="M261" s="285"/>
      <c r="N261" s="285">
        <v>0</v>
      </c>
      <c r="O261" s="285"/>
      <c r="P261" s="285"/>
      <c r="Q261" s="285"/>
      <c r="R261" s="285">
        <v>0</v>
      </c>
      <c r="S261" s="285"/>
      <c r="T261" s="285"/>
      <c r="U261" s="285"/>
      <c r="V261" s="285">
        <v>0</v>
      </c>
      <c r="W261" s="285"/>
      <c r="X261" s="285"/>
      <c r="Y261" s="285"/>
      <c r="Z261" s="285">
        <v>0</v>
      </c>
      <c r="AA261" s="285"/>
      <c r="AB261" s="285"/>
      <c r="AC261" s="285"/>
      <c r="AD261" s="285">
        <v>0</v>
      </c>
      <c r="AE261" s="285"/>
      <c r="AF261" s="285"/>
      <c r="AG261" s="285"/>
      <c r="AH261" s="285">
        <v>0</v>
      </c>
      <c r="AI261" s="224">
        <f t="shared" si="23"/>
        <v>9000</v>
      </c>
      <c r="AJ261" s="224">
        <f t="shared" si="24"/>
        <v>9000</v>
      </c>
      <c r="AK261" s="224">
        <f t="shared" si="25"/>
        <v>9211.7330000000002</v>
      </c>
      <c r="AL261" s="224">
        <f t="shared" si="40"/>
        <v>9000</v>
      </c>
      <c r="AM261" s="225">
        <f t="shared" si="41"/>
        <v>0</v>
      </c>
    </row>
    <row r="262" spans="1:39" s="271" customFormat="1" ht="20.100000000000001" hidden="1" customHeight="1" x14ac:dyDescent="0.2">
      <c r="A262" s="234" t="s">
        <v>401</v>
      </c>
      <c r="B262" s="254"/>
      <c r="C262" s="254"/>
      <c r="D262" s="254"/>
      <c r="E262" s="254"/>
      <c r="F262" s="279"/>
      <c r="G262" s="292"/>
      <c r="H262" s="292"/>
      <c r="I262" s="292"/>
      <c r="J262" s="288"/>
      <c r="K262" s="288"/>
      <c r="L262" s="288"/>
      <c r="M262" s="288"/>
      <c r="N262" s="288"/>
      <c r="O262" s="288"/>
      <c r="P262" s="288"/>
      <c r="Q262" s="288"/>
      <c r="R262" s="288"/>
      <c r="S262" s="288"/>
      <c r="T262" s="288"/>
      <c r="U262" s="288"/>
      <c r="V262" s="288"/>
      <c r="W262" s="288"/>
      <c r="X262" s="288"/>
      <c r="Y262" s="288"/>
      <c r="Z262" s="288"/>
      <c r="AA262" s="288"/>
      <c r="AB262" s="288"/>
      <c r="AC262" s="288"/>
      <c r="AD262" s="288"/>
      <c r="AE262" s="288"/>
      <c r="AF262" s="288"/>
      <c r="AG262" s="288"/>
      <c r="AH262" s="288"/>
      <c r="AI262" s="224">
        <f t="shared" si="23"/>
        <v>0</v>
      </c>
      <c r="AJ262" s="224">
        <f t="shared" si="24"/>
        <v>0</v>
      </c>
      <c r="AK262" s="224">
        <f t="shared" si="25"/>
        <v>0</v>
      </c>
      <c r="AL262" s="224">
        <f t="shared" si="40"/>
        <v>0</v>
      </c>
      <c r="AM262" s="225">
        <f t="shared" si="41"/>
        <v>0</v>
      </c>
    </row>
    <row r="263" spans="1:39" s="261" customFormat="1" ht="20.100000000000001" hidden="1" customHeight="1" x14ac:dyDescent="0.2">
      <c r="A263" s="234" t="s">
        <v>402</v>
      </c>
      <c r="B263" s="235"/>
      <c r="C263" s="235"/>
      <c r="D263" s="235"/>
      <c r="E263" s="235"/>
      <c r="F263" s="279"/>
      <c r="G263" s="279"/>
      <c r="H263" s="279"/>
      <c r="I263" s="279"/>
      <c r="J263" s="280"/>
      <c r="K263" s="280"/>
      <c r="L263" s="280"/>
      <c r="M263" s="280"/>
      <c r="N263" s="280"/>
      <c r="O263" s="280"/>
      <c r="P263" s="280"/>
      <c r="Q263" s="280"/>
      <c r="R263" s="280"/>
      <c r="S263" s="280"/>
      <c r="T263" s="280"/>
      <c r="U263" s="280"/>
      <c r="V263" s="280"/>
      <c r="W263" s="280"/>
      <c r="X263" s="280"/>
      <c r="Y263" s="280"/>
      <c r="Z263" s="280"/>
      <c r="AA263" s="280"/>
      <c r="AB263" s="280"/>
      <c r="AC263" s="280"/>
      <c r="AD263" s="280"/>
      <c r="AE263" s="280"/>
      <c r="AF263" s="280"/>
      <c r="AG263" s="280"/>
      <c r="AH263" s="280"/>
      <c r="AI263" s="224">
        <f t="shared" si="23"/>
        <v>0</v>
      </c>
      <c r="AJ263" s="224">
        <f t="shared" si="24"/>
        <v>0</v>
      </c>
      <c r="AK263" s="224">
        <f t="shared" si="25"/>
        <v>0</v>
      </c>
      <c r="AL263" s="224">
        <f t="shared" si="40"/>
        <v>0</v>
      </c>
      <c r="AM263" s="225">
        <f t="shared" si="41"/>
        <v>0</v>
      </c>
    </row>
    <row r="264" spans="1:39" s="261" customFormat="1" ht="20.100000000000001" hidden="1" customHeight="1" x14ac:dyDescent="0.2">
      <c r="A264" s="234" t="s">
        <v>403</v>
      </c>
      <c r="B264" s="235"/>
      <c r="C264" s="235"/>
      <c r="D264" s="235"/>
      <c r="E264" s="235"/>
      <c r="F264" s="279"/>
      <c r="G264" s="279"/>
      <c r="H264" s="279"/>
      <c r="I264" s="279"/>
      <c r="J264" s="280"/>
      <c r="K264" s="280"/>
      <c r="L264" s="280"/>
      <c r="M264" s="280"/>
      <c r="N264" s="280"/>
      <c r="O264" s="280"/>
      <c r="P264" s="280"/>
      <c r="Q264" s="280"/>
      <c r="R264" s="280"/>
      <c r="S264" s="280"/>
      <c r="T264" s="280"/>
      <c r="U264" s="280"/>
      <c r="V264" s="280"/>
      <c r="W264" s="280"/>
      <c r="X264" s="280"/>
      <c r="Y264" s="280"/>
      <c r="Z264" s="280"/>
      <c r="AA264" s="280"/>
      <c r="AB264" s="280"/>
      <c r="AC264" s="280"/>
      <c r="AD264" s="280"/>
      <c r="AE264" s="280"/>
      <c r="AF264" s="280"/>
      <c r="AG264" s="280"/>
      <c r="AH264" s="280"/>
      <c r="AI264" s="224">
        <f t="shared" ref="AI264:AI302" si="42">C264+G264+K264+O264+S264+W264+AA264+AE264</f>
        <v>0</v>
      </c>
      <c r="AJ264" s="224">
        <f t="shared" ref="AJ264:AJ302" si="43">D264+H264+L264+P264+T264+X264+AB264+AF264</f>
        <v>0</v>
      </c>
      <c r="AK264" s="224">
        <f t="shared" ref="AK264:AK302" si="44">E264+I264+M264+Q264+U264+Y264+AC264+AG264</f>
        <v>0</v>
      </c>
      <c r="AL264" s="224">
        <f t="shared" si="40"/>
        <v>0</v>
      </c>
      <c r="AM264" s="225">
        <f t="shared" si="41"/>
        <v>0</v>
      </c>
    </row>
    <row r="265" spans="1:39" s="261" customFormat="1" ht="20.100000000000001" customHeight="1" x14ac:dyDescent="0.2">
      <c r="A265" s="234" t="s">
        <v>404</v>
      </c>
      <c r="B265" s="235"/>
      <c r="C265" s="236">
        <v>9000</v>
      </c>
      <c r="D265" s="236">
        <v>9000</v>
      </c>
      <c r="E265" s="235">
        <v>9211.7330000000002</v>
      </c>
      <c r="F265" s="279">
        <v>9000</v>
      </c>
      <c r="G265" s="279"/>
      <c r="H265" s="279"/>
      <c r="I265" s="279"/>
      <c r="J265" s="283"/>
      <c r="K265" s="283"/>
      <c r="L265" s="283"/>
      <c r="M265" s="283"/>
      <c r="N265" s="280"/>
      <c r="O265" s="280"/>
      <c r="P265" s="280"/>
      <c r="Q265" s="280"/>
      <c r="R265" s="280"/>
      <c r="S265" s="280"/>
      <c r="T265" s="280"/>
      <c r="U265" s="280"/>
      <c r="V265" s="280"/>
      <c r="W265" s="280"/>
      <c r="X265" s="280"/>
      <c r="Y265" s="280"/>
      <c r="Z265" s="280"/>
      <c r="AA265" s="280"/>
      <c r="AB265" s="280"/>
      <c r="AC265" s="280"/>
      <c r="AD265" s="280"/>
      <c r="AE265" s="280"/>
      <c r="AF265" s="280"/>
      <c r="AG265" s="280"/>
      <c r="AH265" s="280"/>
      <c r="AI265" s="224">
        <f t="shared" si="42"/>
        <v>9000</v>
      </c>
      <c r="AJ265" s="224">
        <f t="shared" si="43"/>
        <v>9000</v>
      </c>
      <c r="AK265" s="224">
        <f t="shared" si="44"/>
        <v>9211.7330000000002</v>
      </c>
      <c r="AL265" s="224">
        <f t="shared" si="40"/>
        <v>9000</v>
      </c>
      <c r="AM265" s="225">
        <f t="shared" si="41"/>
        <v>0</v>
      </c>
    </row>
    <row r="266" spans="1:39" s="261" customFormat="1" ht="20.100000000000001" hidden="1" customHeight="1" x14ac:dyDescent="0.2">
      <c r="A266" s="234" t="s">
        <v>405</v>
      </c>
      <c r="B266" s="235"/>
      <c r="C266" s="235"/>
      <c r="D266" s="235"/>
      <c r="E266" s="235"/>
      <c r="F266" s="279"/>
      <c r="G266" s="279"/>
      <c r="H266" s="279"/>
      <c r="I266" s="279"/>
      <c r="J266" s="280"/>
      <c r="K266" s="280"/>
      <c r="L266" s="280"/>
      <c r="M266" s="280"/>
      <c r="N266" s="280"/>
      <c r="O266" s="280"/>
      <c r="P266" s="280"/>
      <c r="Q266" s="280"/>
      <c r="R266" s="280"/>
      <c r="S266" s="280"/>
      <c r="T266" s="280"/>
      <c r="U266" s="280"/>
      <c r="V266" s="280"/>
      <c r="W266" s="280"/>
      <c r="X266" s="280"/>
      <c r="Y266" s="280"/>
      <c r="Z266" s="280"/>
      <c r="AA266" s="280"/>
      <c r="AB266" s="280"/>
      <c r="AC266" s="280"/>
      <c r="AD266" s="280"/>
      <c r="AE266" s="280"/>
      <c r="AF266" s="280"/>
      <c r="AG266" s="280"/>
      <c r="AH266" s="280"/>
      <c r="AI266" s="224">
        <f t="shared" si="42"/>
        <v>0</v>
      </c>
      <c r="AJ266" s="224">
        <f t="shared" si="43"/>
        <v>0</v>
      </c>
      <c r="AK266" s="224">
        <f t="shared" si="44"/>
        <v>0</v>
      </c>
      <c r="AL266" s="224">
        <f t="shared" si="40"/>
        <v>0</v>
      </c>
      <c r="AM266" s="225">
        <f t="shared" si="41"/>
        <v>0</v>
      </c>
    </row>
    <row r="267" spans="1:39" s="261" customFormat="1" ht="28.5" hidden="1" customHeight="1" x14ac:dyDescent="0.2">
      <c r="A267" s="234" t="s">
        <v>406</v>
      </c>
      <c r="B267" s="235"/>
      <c r="C267" s="235"/>
      <c r="D267" s="235"/>
      <c r="E267" s="235"/>
      <c r="F267" s="248"/>
      <c r="G267" s="248"/>
      <c r="H267" s="248"/>
      <c r="I267" s="248"/>
      <c r="J267" s="280"/>
      <c r="K267" s="280"/>
      <c r="L267" s="280"/>
      <c r="M267" s="280"/>
      <c r="N267" s="280"/>
      <c r="O267" s="280"/>
      <c r="P267" s="280"/>
      <c r="Q267" s="280"/>
      <c r="R267" s="280"/>
      <c r="S267" s="280"/>
      <c r="T267" s="280"/>
      <c r="U267" s="280"/>
      <c r="V267" s="280"/>
      <c r="W267" s="280"/>
      <c r="X267" s="280"/>
      <c r="Y267" s="280"/>
      <c r="Z267" s="280"/>
      <c r="AA267" s="280"/>
      <c r="AB267" s="280"/>
      <c r="AC267" s="280"/>
      <c r="AD267" s="280"/>
      <c r="AE267" s="280"/>
      <c r="AF267" s="280"/>
      <c r="AG267" s="280"/>
      <c r="AH267" s="280"/>
      <c r="AI267" s="224">
        <f t="shared" si="42"/>
        <v>0</v>
      </c>
      <c r="AJ267" s="224">
        <f t="shared" si="43"/>
        <v>0</v>
      </c>
      <c r="AK267" s="224">
        <f t="shared" si="44"/>
        <v>0</v>
      </c>
      <c r="AL267" s="224">
        <f t="shared" si="40"/>
        <v>0</v>
      </c>
      <c r="AM267" s="225">
        <f t="shared" si="41"/>
        <v>0</v>
      </c>
    </row>
    <row r="268" spans="1:39" s="261" customFormat="1" ht="28.5" hidden="1" customHeight="1" x14ac:dyDescent="0.2">
      <c r="A268" s="234" t="s">
        <v>407</v>
      </c>
      <c r="B268" s="235"/>
      <c r="C268" s="235"/>
      <c r="D268" s="235"/>
      <c r="E268" s="235"/>
      <c r="F268" s="255"/>
      <c r="G268" s="255"/>
      <c r="H268" s="255"/>
      <c r="I268" s="255"/>
      <c r="J268" s="280"/>
      <c r="K268" s="280"/>
      <c r="L268" s="280"/>
      <c r="M268" s="280"/>
      <c r="N268" s="280"/>
      <c r="O268" s="280"/>
      <c r="P268" s="280"/>
      <c r="Q268" s="280"/>
      <c r="R268" s="280"/>
      <c r="S268" s="280"/>
      <c r="T268" s="280"/>
      <c r="U268" s="280"/>
      <c r="V268" s="280"/>
      <c r="W268" s="280"/>
      <c r="X268" s="280"/>
      <c r="Y268" s="280"/>
      <c r="Z268" s="280"/>
      <c r="AA268" s="280"/>
      <c r="AB268" s="280"/>
      <c r="AC268" s="280"/>
      <c r="AD268" s="280"/>
      <c r="AE268" s="280"/>
      <c r="AF268" s="280"/>
      <c r="AG268" s="280"/>
      <c r="AH268" s="280"/>
      <c r="AI268" s="224">
        <f t="shared" si="42"/>
        <v>0</v>
      </c>
      <c r="AJ268" s="224">
        <f t="shared" si="43"/>
        <v>0</v>
      </c>
      <c r="AK268" s="224">
        <f t="shared" si="44"/>
        <v>0</v>
      </c>
      <c r="AL268" s="224">
        <f t="shared" si="40"/>
        <v>0</v>
      </c>
      <c r="AM268" s="225">
        <f t="shared" si="41"/>
        <v>0</v>
      </c>
    </row>
    <row r="269" spans="1:39" s="261" customFormat="1" ht="20.100000000000001" hidden="1" customHeight="1" x14ac:dyDescent="0.2">
      <c r="A269" s="234" t="s">
        <v>408</v>
      </c>
      <c r="B269" s="235"/>
      <c r="C269" s="235"/>
      <c r="D269" s="235"/>
      <c r="E269" s="235"/>
      <c r="F269" s="255"/>
      <c r="G269" s="255"/>
      <c r="H269" s="255"/>
      <c r="I269" s="255"/>
      <c r="J269" s="280"/>
      <c r="K269" s="280"/>
      <c r="L269" s="280"/>
      <c r="M269" s="280"/>
      <c r="N269" s="280"/>
      <c r="O269" s="280"/>
      <c r="P269" s="280"/>
      <c r="Q269" s="280"/>
      <c r="R269" s="280"/>
      <c r="S269" s="280"/>
      <c r="T269" s="280"/>
      <c r="U269" s="280"/>
      <c r="V269" s="280"/>
      <c r="W269" s="280"/>
      <c r="X269" s="280"/>
      <c r="Y269" s="280"/>
      <c r="Z269" s="280"/>
      <c r="AA269" s="280"/>
      <c r="AB269" s="280"/>
      <c r="AC269" s="280"/>
      <c r="AD269" s="280"/>
      <c r="AE269" s="280"/>
      <c r="AF269" s="280"/>
      <c r="AG269" s="280"/>
      <c r="AH269" s="280"/>
      <c r="AI269" s="224">
        <f t="shared" si="42"/>
        <v>0</v>
      </c>
      <c r="AJ269" s="224">
        <f t="shared" si="43"/>
        <v>0</v>
      </c>
      <c r="AK269" s="224">
        <f t="shared" si="44"/>
        <v>0</v>
      </c>
      <c r="AL269" s="224">
        <f t="shared" si="40"/>
        <v>0</v>
      </c>
      <c r="AM269" s="225">
        <f t="shared" si="41"/>
        <v>0</v>
      </c>
    </row>
    <row r="270" spans="1:39" s="261" customFormat="1" ht="20.100000000000001" hidden="1" customHeight="1" x14ac:dyDescent="0.2">
      <c r="A270" s="234" t="s">
        <v>409</v>
      </c>
      <c r="B270" s="235"/>
      <c r="C270" s="235"/>
      <c r="D270" s="235"/>
      <c r="E270" s="235"/>
      <c r="F270" s="255"/>
      <c r="G270" s="255"/>
      <c r="H270" s="255"/>
      <c r="I270" s="255"/>
      <c r="J270" s="280"/>
      <c r="K270" s="280"/>
      <c r="L270" s="280"/>
      <c r="M270" s="280"/>
      <c r="N270" s="280"/>
      <c r="O270" s="280"/>
      <c r="P270" s="280"/>
      <c r="Q270" s="280"/>
      <c r="R270" s="280"/>
      <c r="S270" s="280"/>
      <c r="T270" s="280"/>
      <c r="U270" s="280"/>
      <c r="V270" s="280"/>
      <c r="W270" s="280"/>
      <c r="X270" s="280"/>
      <c r="Y270" s="280"/>
      <c r="Z270" s="280"/>
      <c r="AA270" s="280"/>
      <c r="AB270" s="280"/>
      <c r="AC270" s="280"/>
      <c r="AD270" s="280"/>
      <c r="AE270" s="280"/>
      <c r="AF270" s="280"/>
      <c r="AG270" s="280"/>
      <c r="AH270" s="280"/>
      <c r="AI270" s="224">
        <f t="shared" si="42"/>
        <v>0</v>
      </c>
      <c r="AJ270" s="224">
        <f t="shared" si="43"/>
        <v>0</v>
      </c>
      <c r="AK270" s="224">
        <f t="shared" si="44"/>
        <v>0</v>
      </c>
      <c r="AL270" s="224">
        <f t="shared" si="40"/>
        <v>0</v>
      </c>
      <c r="AM270" s="225">
        <f t="shared" si="41"/>
        <v>0</v>
      </c>
    </row>
    <row r="271" spans="1:39" s="253" customFormat="1" ht="27" customHeight="1" x14ac:dyDescent="0.2">
      <c r="A271" s="242" t="s">
        <v>410</v>
      </c>
      <c r="B271" s="252"/>
      <c r="C271" s="343">
        <v>0</v>
      </c>
      <c r="D271" s="343">
        <v>0</v>
      </c>
      <c r="E271" s="343">
        <v>90000</v>
      </c>
      <c r="F271" s="343">
        <v>0</v>
      </c>
      <c r="G271" s="343"/>
      <c r="H271" s="343"/>
      <c r="I271" s="343"/>
      <c r="J271" s="343">
        <v>0</v>
      </c>
      <c r="K271" s="343"/>
      <c r="L271" s="343"/>
      <c r="M271" s="343"/>
      <c r="N271" s="343">
        <v>0</v>
      </c>
      <c r="O271" s="343"/>
      <c r="P271" s="343"/>
      <c r="Q271" s="343"/>
      <c r="R271" s="343">
        <v>0</v>
      </c>
      <c r="S271" s="343"/>
      <c r="T271" s="343"/>
      <c r="U271" s="343"/>
      <c r="V271" s="343">
        <v>0</v>
      </c>
      <c r="W271" s="343"/>
      <c r="X271" s="343"/>
      <c r="Y271" s="343"/>
      <c r="Z271" s="343">
        <v>0</v>
      </c>
      <c r="AA271" s="343"/>
      <c r="AB271" s="343"/>
      <c r="AC271" s="343"/>
      <c r="AD271" s="343">
        <v>0</v>
      </c>
      <c r="AE271" s="343"/>
      <c r="AF271" s="343"/>
      <c r="AG271" s="343"/>
      <c r="AH271" s="343">
        <v>0</v>
      </c>
      <c r="AI271" s="224">
        <f t="shared" si="42"/>
        <v>0</v>
      </c>
      <c r="AJ271" s="224">
        <f t="shared" si="43"/>
        <v>0</v>
      </c>
      <c r="AK271" s="224">
        <f t="shared" si="44"/>
        <v>90000</v>
      </c>
      <c r="AL271" s="224">
        <f t="shared" si="40"/>
        <v>0</v>
      </c>
      <c r="AM271" s="225">
        <f t="shared" si="41"/>
        <v>0</v>
      </c>
    </row>
    <row r="272" spans="1:39" s="271" customFormat="1" ht="20.100000000000001" hidden="1" customHeight="1" x14ac:dyDescent="0.2">
      <c r="A272" s="234" t="s">
        <v>411</v>
      </c>
      <c r="B272" s="254"/>
      <c r="C272" s="254"/>
      <c r="D272" s="254"/>
      <c r="E272" s="254"/>
      <c r="F272" s="255"/>
      <c r="G272" s="256"/>
      <c r="H272" s="256"/>
      <c r="I272" s="256"/>
      <c r="J272" s="257"/>
      <c r="K272" s="257"/>
      <c r="L272" s="257"/>
      <c r="M272" s="257"/>
      <c r="N272" s="257"/>
      <c r="O272" s="257"/>
      <c r="P272" s="257"/>
      <c r="Q272" s="257"/>
      <c r="R272" s="257"/>
      <c r="S272" s="257"/>
      <c r="T272" s="257"/>
      <c r="U272" s="257"/>
      <c r="V272" s="257"/>
      <c r="W272" s="257"/>
      <c r="X272" s="257"/>
      <c r="Y272" s="257"/>
      <c r="Z272" s="257"/>
      <c r="AA272" s="257"/>
      <c r="AB272" s="257"/>
      <c r="AC272" s="257"/>
      <c r="AD272" s="257"/>
      <c r="AE272" s="257"/>
      <c r="AF272" s="257"/>
      <c r="AG272" s="257"/>
      <c r="AH272" s="257"/>
      <c r="AI272" s="224">
        <f t="shared" si="42"/>
        <v>0</v>
      </c>
      <c r="AJ272" s="224">
        <f t="shared" si="43"/>
        <v>0</v>
      </c>
      <c r="AK272" s="224">
        <f t="shared" si="44"/>
        <v>0</v>
      </c>
      <c r="AL272" s="224">
        <f t="shared" si="40"/>
        <v>0</v>
      </c>
      <c r="AM272" s="225">
        <f t="shared" si="41"/>
        <v>0</v>
      </c>
    </row>
    <row r="273" spans="1:39" s="261" customFormat="1" ht="20.100000000000001" hidden="1" customHeight="1" x14ac:dyDescent="0.2">
      <c r="A273" s="234" t="s">
        <v>412</v>
      </c>
      <c r="B273" s="235"/>
      <c r="C273" s="235"/>
      <c r="D273" s="235"/>
      <c r="E273" s="235"/>
      <c r="F273" s="255"/>
      <c r="G273" s="255"/>
      <c r="H273" s="255"/>
      <c r="I273" s="255"/>
      <c r="J273" s="259"/>
      <c r="K273" s="259"/>
      <c r="L273" s="259"/>
      <c r="M273" s="259"/>
      <c r="N273" s="259"/>
      <c r="O273" s="259"/>
      <c r="P273" s="259"/>
      <c r="Q273" s="259"/>
      <c r="R273" s="259"/>
      <c r="S273" s="259"/>
      <c r="T273" s="259"/>
      <c r="U273" s="259"/>
      <c r="V273" s="259"/>
      <c r="W273" s="259"/>
      <c r="X273" s="259"/>
      <c r="Y273" s="259"/>
      <c r="Z273" s="259"/>
      <c r="AA273" s="259"/>
      <c r="AB273" s="259"/>
      <c r="AC273" s="259"/>
      <c r="AD273" s="259"/>
      <c r="AE273" s="259"/>
      <c r="AF273" s="259"/>
      <c r="AG273" s="259"/>
      <c r="AH273" s="259"/>
      <c r="AI273" s="224">
        <f t="shared" si="42"/>
        <v>0</v>
      </c>
      <c r="AJ273" s="224">
        <f t="shared" si="43"/>
        <v>0</v>
      </c>
      <c r="AK273" s="224">
        <f t="shared" si="44"/>
        <v>0</v>
      </c>
      <c r="AL273" s="224">
        <f t="shared" si="40"/>
        <v>0</v>
      </c>
      <c r="AM273" s="225">
        <f t="shared" si="41"/>
        <v>0</v>
      </c>
    </row>
    <row r="274" spans="1:39" s="261" customFormat="1" ht="20.100000000000001" hidden="1" customHeight="1" x14ac:dyDescent="0.2">
      <c r="A274" s="234" t="s">
        <v>413</v>
      </c>
      <c r="B274" s="235"/>
      <c r="C274" s="235"/>
      <c r="D274" s="235">
        <v>90000</v>
      </c>
      <c r="E274" s="235">
        <v>90000</v>
      </c>
      <c r="F274" s="255"/>
      <c r="G274" s="255"/>
      <c r="H274" s="255"/>
      <c r="I274" s="255"/>
      <c r="J274" s="259"/>
      <c r="K274" s="259"/>
      <c r="L274" s="259"/>
      <c r="M274" s="259"/>
      <c r="N274" s="259"/>
      <c r="O274" s="259"/>
      <c r="P274" s="259"/>
      <c r="Q274" s="259"/>
      <c r="R274" s="259"/>
      <c r="S274" s="259"/>
      <c r="T274" s="259"/>
      <c r="U274" s="259"/>
      <c r="V274" s="259"/>
      <c r="W274" s="259"/>
      <c r="X274" s="259"/>
      <c r="Y274" s="259"/>
      <c r="Z274" s="259"/>
      <c r="AA274" s="259"/>
      <c r="AB274" s="259"/>
      <c r="AC274" s="259"/>
      <c r="AD274" s="259"/>
      <c r="AE274" s="259"/>
      <c r="AF274" s="259"/>
      <c r="AG274" s="259"/>
      <c r="AH274" s="259"/>
      <c r="AI274" s="224">
        <f t="shared" si="42"/>
        <v>0</v>
      </c>
      <c r="AJ274" s="224">
        <f t="shared" si="43"/>
        <v>90000</v>
      </c>
      <c r="AK274" s="224">
        <f t="shared" si="44"/>
        <v>90000</v>
      </c>
      <c r="AL274" s="224">
        <f t="shared" si="40"/>
        <v>0</v>
      </c>
      <c r="AM274" s="225">
        <f t="shared" si="41"/>
        <v>0</v>
      </c>
    </row>
    <row r="275" spans="1:39" s="261" customFormat="1" ht="20.100000000000001" hidden="1" customHeight="1" x14ac:dyDescent="0.2">
      <c r="A275" s="234" t="s">
        <v>414</v>
      </c>
      <c r="B275" s="235"/>
      <c r="C275" s="235"/>
      <c r="D275" s="235"/>
      <c r="E275" s="235"/>
      <c r="F275" s="255"/>
      <c r="G275" s="255"/>
      <c r="H275" s="255"/>
      <c r="I275" s="255"/>
      <c r="J275" s="283"/>
      <c r="K275" s="283"/>
      <c r="L275" s="283"/>
      <c r="M275" s="283"/>
      <c r="N275" s="283"/>
      <c r="O275" s="283"/>
      <c r="P275" s="283"/>
      <c r="Q275" s="283"/>
      <c r="R275" s="259"/>
      <c r="S275" s="259"/>
      <c r="T275" s="259"/>
      <c r="U275" s="259"/>
      <c r="V275" s="259"/>
      <c r="W275" s="259"/>
      <c r="X275" s="259"/>
      <c r="Y275" s="259"/>
      <c r="Z275" s="259"/>
      <c r="AA275" s="259"/>
      <c r="AB275" s="259"/>
      <c r="AC275" s="259"/>
      <c r="AD275" s="259"/>
      <c r="AE275" s="259"/>
      <c r="AF275" s="259"/>
      <c r="AG275" s="259"/>
      <c r="AH275" s="259"/>
      <c r="AI275" s="224">
        <f t="shared" si="42"/>
        <v>0</v>
      </c>
      <c r="AJ275" s="224">
        <f t="shared" si="43"/>
        <v>0</v>
      </c>
      <c r="AK275" s="224">
        <f t="shared" si="44"/>
        <v>0</v>
      </c>
      <c r="AL275" s="224">
        <f t="shared" si="40"/>
        <v>0</v>
      </c>
      <c r="AM275" s="225">
        <f t="shared" si="41"/>
        <v>0</v>
      </c>
    </row>
    <row r="276" spans="1:39" s="261" customFormat="1" ht="20.100000000000001" hidden="1" customHeight="1" x14ac:dyDescent="0.2">
      <c r="A276" s="234" t="s">
        <v>415</v>
      </c>
      <c r="B276" s="235"/>
      <c r="C276" s="235"/>
      <c r="D276" s="235"/>
      <c r="E276" s="235"/>
      <c r="F276" s="255"/>
      <c r="G276" s="255"/>
      <c r="H276" s="255"/>
      <c r="I276" s="255"/>
      <c r="J276" s="259"/>
      <c r="K276" s="259"/>
      <c r="L276" s="259"/>
      <c r="M276" s="259"/>
      <c r="N276" s="259"/>
      <c r="O276" s="259"/>
      <c r="P276" s="259"/>
      <c r="Q276" s="259"/>
      <c r="R276" s="259"/>
      <c r="S276" s="259"/>
      <c r="T276" s="259"/>
      <c r="U276" s="259"/>
      <c r="V276" s="259"/>
      <c r="W276" s="259"/>
      <c r="X276" s="259"/>
      <c r="Y276" s="259"/>
      <c r="Z276" s="259"/>
      <c r="AA276" s="259"/>
      <c r="AB276" s="259"/>
      <c r="AC276" s="259"/>
      <c r="AD276" s="259"/>
      <c r="AE276" s="259"/>
      <c r="AF276" s="259"/>
      <c r="AG276" s="259"/>
      <c r="AH276" s="259"/>
      <c r="AI276" s="224">
        <f t="shared" si="42"/>
        <v>0</v>
      </c>
      <c r="AJ276" s="224">
        <f t="shared" si="43"/>
        <v>0</v>
      </c>
      <c r="AK276" s="224">
        <f t="shared" si="44"/>
        <v>0</v>
      </c>
      <c r="AL276" s="224">
        <f t="shared" si="40"/>
        <v>0</v>
      </c>
      <c r="AM276" s="225">
        <f t="shared" si="41"/>
        <v>0</v>
      </c>
    </row>
    <row r="277" spans="1:39" s="261" customFormat="1" ht="27" hidden="1" customHeight="1" x14ac:dyDescent="0.2">
      <c r="A277" s="234" t="s">
        <v>416</v>
      </c>
      <c r="B277" s="235"/>
      <c r="C277" s="235"/>
      <c r="D277" s="235"/>
      <c r="E277" s="235"/>
      <c r="F277" s="255"/>
      <c r="G277" s="255"/>
      <c r="H277" s="255"/>
      <c r="I277" s="255"/>
      <c r="J277" s="259"/>
      <c r="K277" s="259"/>
      <c r="L277" s="259"/>
      <c r="M277" s="259"/>
      <c r="N277" s="259"/>
      <c r="O277" s="259"/>
      <c r="P277" s="259"/>
      <c r="Q277" s="259"/>
      <c r="R277" s="259"/>
      <c r="S277" s="259"/>
      <c r="T277" s="259"/>
      <c r="U277" s="259"/>
      <c r="V277" s="259"/>
      <c r="W277" s="259"/>
      <c r="X277" s="259"/>
      <c r="Y277" s="259"/>
      <c r="Z277" s="259"/>
      <c r="AA277" s="259"/>
      <c r="AB277" s="259"/>
      <c r="AC277" s="259"/>
      <c r="AD277" s="259"/>
      <c r="AE277" s="259"/>
      <c r="AF277" s="259"/>
      <c r="AG277" s="259"/>
      <c r="AH277" s="259"/>
      <c r="AI277" s="224">
        <f t="shared" si="42"/>
        <v>0</v>
      </c>
      <c r="AJ277" s="224">
        <f t="shared" si="43"/>
        <v>0</v>
      </c>
      <c r="AK277" s="224">
        <f t="shared" si="44"/>
        <v>0</v>
      </c>
      <c r="AL277" s="224">
        <f t="shared" si="40"/>
        <v>0</v>
      </c>
      <c r="AM277" s="225">
        <f t="shared" si="41"/>
        <v>0</v>
      </c>
    </row>
    <row r="278" spans="1:39" s="261" customFormat="1" ht="27" hidden="1" customHeight="1" x14ac:dyDescent="0.2">
      <c r="A278" s="234" t="s">
        <v>417</v>
      </c>
      <c r="B278" s="235"/>
      <c r="C278" s="235"/>
      <c r="D278" s="235"/>
      <c r="E278" s="235"/>
      <c r="F278" s="255"/>
      <c r="G278" s="255"/>
      <c r="H278" s="255"/>
      <c r="I278" s="255"/>
      <c r="J278" s="259"/>
      <c r="K278" s="259"/>
      <c r="L278" s="259"/>
      <c r="M278" s="259"/>
      <c r="N278" s="259"/>
      <c r="O278" s="259"/>
      <c r="P278" s="259"/>
      <c r="Q278" s="259"/>
      <c r="R278" s="259"/>
      <c r="S278" s="259"/>
      <c r="T278" s="259"/>
      <c r="U278" s="259"/>
      <c r="V278" s="259"/>
      <c r="W278" s="259"/>
      <c r="X278" s="259"/>
      <c r="Y278" s="259"/>
      <c r="Z278" s="259"/>
      <c r="AA278" s="259"/>
      <c r="AB278" s="259"/>
      <c r="AC278" s="259"/>
      <c r="AD278" s="259"/>
      <c r="AE278" s="259"/>
      <c r="AF278" s="259"/>
      <c r="AG278" s="259"/>
      <c r="AH278" s="259"/>
      <c r="AI278" s="224">
        <f t="shared" si="42"/>
        <v>0</v>
      </c>
      <c r="AJ278" s="224">
        <f t="shared" si="43"/>
        <v>0</v>
      </c>
      <c r="AK278" s="224">
        <f t="shared" si="44"/>
        <v>0</v>
      </c>
      <c r="AL278" s="224">
        <f t="shared" si="40"/>
        <v>0</v>
      </c>
      <c r="AM278" s="225">
        <f t="shared" si="41"/>
        <v>0</v>
      </c>
    </row>
    <row r="279" spans="1:39" s="261" customFormat="1" ht="20.100000000000001" hidden="1" customHeight="1" x14ac:dyDescent="0.2">
      <c r="A279" s="234" t="s">
        <v>418</v>
      </c>
      <c r="B279" s="235"/>
      <c r="C279" s="235"/>
      <c r="D279" s="235"/>
      <c r="E279" s="235"/>
      <c r="F279" s="347"/>
      <c r="G279" s="347"/>
      <c r="H279" s="347"/>
      <c r="I279" s="347"/>
      <c r="J279" s="259"/>
      <c r="K279" s="259"/>
      <c r="L279" s="259"/>
      <c r="M279" s="259"/>
      <c r="N279" s="259"/>
      <c r="O279" s="259"/>
      <c r="P279" s="259"/>
      <c r="Q279" s="259"/>
      <c r="R279" s="259"/>
      <c r="S279" s="259"/>
      <c r="T279" s="259"/>
      <c r="U279" s="259"/>
      <c r="V279" s="259"/>
      <c r="W279" s="259"/>
      <c r="X279" s="259"/>
      <c r="Y279" s="259"/>
      <c r="Z279" s="259"/>
      <c r="AA279" s="259"/>
      <c r="AB279" s="259"/>
      <c r="AC279" s="259"/>
      <c r="AD279" s="259"/>
      <c r="AE279" s="259"/>
      <c r="AF279" s="259"/>
      <c r="AG279" s="259"/>
      <c r="AH279" s="259"/>
      <c r="AI279" s="224">
        <f t="shared" si="42"/>
        <v>0</v>
      </c>
      <c r="AJ279" s="224">
        <f t="shared" si="43"/>
        <v>0</v>
      </c>
      <c r="AK279" s="224">
        <f t="shared" si="44"/>
        <v>0</v>
      </c>
      <c r="AL279" s="224">
        <f t="shared" si="40"/>
        <v>0</v>
      </c>
      <c r="AM279" s="225">
        <f t="shared" si="41"/>
        <v>0</v>
      </c>
    </row>
    <row r="280" spans="1:39" s="261" customFormat="1" ht="20.100000000000001" hidden="1" customHeight="1" x14ac:dyDescent="0.2">
      <c r="A280" s="234" t="s">
        <v>419</v>
      </c>
      <c r="B280" s="235"/>
      <c r="C280" s="235"/>
      <c r="D280" s="235"/>
      <c r="E280" s="235"/>
      <c r="F280" s="347"/>
      <c r="G280" s="347"/>
      <c r="H280" s="347"/>
      <c r="I280" s="347"/>
      <c r="J280" s="259"/>
      <c r="K280" s="259"/>
      <c r="L280" s="259"/>
      <c r="M280" s="259"/>
      <c r="N280" s="259"/>
      <c r="O280" s="259"/>
      <c r="P280" s="259"/>
      <c r="Q280" s="259"/>
      <c r="R280" s="259"/>
      <c r="S280" s="259"/>
      <c r="T280" s="259"/>
      <c r="U280" s="259"/>
      <c r="V280" s="259"/>
      <c r="W280" s="259"/>
      <c r="X280" s="259"/>
      <c r="Y280" s="259"/>
      <c r="Z280" s="259"/>
      <c r="AA280" s="259"/>
      <c r="AB280" s="259"/>
      <c r="AC280" s="259"/>
      <c r="AD280" s="259"/>
      <c r="AE280" s="259"/>
      <c r="AF280" s="259"/>
      <c r="AG280" s="259"/>
      <c r="AH280" s="259"/>
      <c r="AI280" s="224">
        <f t="shared" si="42"/>
        <v>0</v>
      </c>
      <c r="AJ280" s="224">
        <f t="shared" si="43"/>
        <v>0</v>
      </c>
      <c r="AK280" s="224">
        <f t="shared" si="44"/>
        <v>0</v>
      </c>
      <c r="AL280" s="224">
        <f t="shared" si="40"/>
        <v>0</v>
      </c>
      <c r="AM280" s="225">
        <f t="shared" si="41"/>
        <v>0</v>
      </c>
    </row>
    <row r="281" spans="1:39" s="261" customFormat="1" ht="20.100000000000001" hidden="1" customHeight="1" x14ac:dyDescent="0.2">
      <c r="A281" s="234" t="s">
        <v>420</v>
      </c>
      <c r="B281" s="235"/>
      <c r="C281" s="235"/>
      <c r="D281" s="235"/>
      <c r="E281" s="235"/>
      <c r="F281" s="241"/>
      <c r="G281" s="241"/>
      <c r="H281" s="241"/>
      <c r="I281" s="241"/>
      <c r="J281" s="259"/>
      <c r="K281" s="259"/>
      <c r="L281" s="259"/>
      <c r="M281" s="259"/>
      <c r="N281" s="259"/>
      <c r="O281" s="259"/>
      <c r="P281" s="259"/>
      <c r="Q281" s="259"/>
      <c r="R281" s="259"/>
      <c r="S281" s="259"/>
      <c r="T281" s="259"/>
      <c r="U281" s="259"/>
      <c r="V281" s="259"/>
      <c r="W281" s="259"/>
      <c r="X281" s="259"/>
      <c r="Y281" s="259"/>
      <c r="Z281" s="259"/>
      <c r="AA281" s="259"/>
      <c r="AB281" s="259"/>
      <c r="AC281" s="259"/>
      <c r="AD281" s="259"/>
      <c r="AE281" s="259"/>
      <c r="AF281" s="259"/>
      <c r="AG281" s="259"/>
      <c r="AH281" s="259"/>
      <c r="AI281" s="224">
        <f t="shared" si="42"/>
        <v>0</v>
      </c>
      <c r="AJ281" s="224">
        <f t="shared" si="43"/>
        <v>0</v>
      </c>
      <c r="AK281" s="224">
        <f t="shared" si="44"/>
        <v>0</v>
      </c>
      <c r="AL281" s="224">
        <f t="shared" si="40"/>
        <v>0</v>
      </c>
      <c r="AM281" s="225">
        <f t="shared" si="41"/>
        <v>0</v>
      </c>
    </row>
    <row r="282" spans="1:39" s="349" customFormat="1" ht="20.100000000000001" hidden="1" customHeight="1" x14ac:dyDescent="0.2">
      <c r="A282" s="234" t="s">
        <v>421</v>
      </c>
      <c r="B282" s="272"/>
      <c r="C282" s="272"/>
      <c r="D282" s="272"/>
      <c r="E282" s="272"/>
      <c r="F282" s="241"/>
      <c r="G282" s="348"/>
      <c r="H282" s="348"/>
      <c r="I282" s="348"/>
      <c r="J282" s="274"/>
      <c r="K282" s="274"/>
      <c r="L282" s="274"/>
      <c r="M282" s="274"/>
      <c r="N282" s="274"/>
      <c r="O282" s="274"/>
      <c r="P282" s="274"/>
      <c r="Q282" s="274"/>
      <c r="R282" s="274"/>
      <c r="S282" s="274"/>
      <c r="T282" s="274"/>
      <c r="U282" s="274"/>
      <c r="V282" s="274"/>
      <c r="W282" s="274"/>
      <c r="X282" s="274"/>
      <c r="Y282" s="274"/>
      <c r="Z282" s="274"/>
      <c r="AA282" s="274"/>
      <c r="AB282" s="274"/>
      <c r="AC282" s="274"/>
      <c r="AD282" s="274"/>
      <c r="AE282" s="274"/>
      <c r="AF282" s="274"/>
      <c r="AG282" s="274"/>
      <c r="AH282" s="274"/>
      <c r="AI282" s="224">
        <f t="shared" si="42"/>
        <v>0</v>
      </c>
      <c r="AJ282" s="224">
        <f t="shared" si="43"/>
        <v>0</v>
      </c>
      <c r="AK282" s="224">
        <f t="shared" si="44"/>
        <v>0</v>
      </c>
      <c r="AL282" s="224">
        <f t="shared" si="40"/>
        <v>0</v>
      </c>
      <c r="AM282" s="225">
        <f t="shared" si="41"/>
        <v>0</v>
      </c>
    </row>
    <row r="283" spans="1:39" s="253" customFormat="1" ht="35.25" customHeight="1" thickBot="1" x14ac:dyDescent="0.25">
      <c r="A283" s="265" t="s">
        <v>422</v>
      </c>
      <c r="B283" s="266" t="s">
        <v>112</v>
      </c>
      <c r="C283" s="341">
        <f>+C261+C271</f>
        <v>9000</v>
      </c>
      <c r="D283" s="341">
        <f>+D261+D271</f>
        <v>9000</v>
      </c>
      <c r="E283" s="341">
        <v>99211.733000000007</v>
      </c>
      <c r="F283" s="341">
        <v>9000</v>
      </c>
      <c r="G283" s="341">
        <v>0</v>
      </c>
      <c r="H283" s="341">
        <v>0</v>
      </c>
      <c r="I283" s="341">
        <v>0</v>
      </c>
      <c r="J283" s="341">
        <v>0</v>
      </c>
      <c r="K283" s="341"/>
      <c r="L283" s="341"/>
      <c r="M283" s="341"/>
      <c r="N283" s="341">
        <v>0</v>
      </c>
      <c r="O283" s="341"/>
      <c r="P283" s="341"/>
      <c r="Q283" s="341"/>
      <c r="R283" s="341">
        <v>0</v>
      </c>
      <c r="S283" s="341"/>
      <c r="T283" s="341"/>
      <c r="U283" s="341"/>
      <c r="V283" s="341">
        <v>0</v>
      </c>
      <c r="W283" s="341"/>
      <c r="X283" s="341"/>
      <c r="Y283" s="341"/>
      <c r="Z283" s="341">
        <v>0</v>
      </c>
      <c r="AA283" s="341"/>
      <c r="AB283" s="341"/>
      <c r="AC283" s="341"/>
      <c r="AD283" s="341">
        <v>0</v>
      </c>
      <c r="AE283" s="341"/>
      <c r="AF283" s="341"/>
      <c r="AG283" s="341"/>
      <c r="AH283" s="341">
        <v>0</v>
      </c>
      <c r="AI283" s="224">
        <f t="shared" si="42"/>
        <v>9000</v>
      </c>
      <c r="AJ283" s="224">
        <f t="shared" si="43"/>
        <v>9000</v>
      </c>
      <c r="AK283" s="224">
        <f t="shared" si="44"/>
        <v>99211.733000000007</v>
      </c>
      <c r="AL283" s="224">
        <f t="shared" si="40"/>
        <v>9000</v>
      </c>
      <c r="AM283" s="225">
        <f t="shared" si="41"/>
        <v>0</v>
      </c>
    </row>
    <row r="284" spans="1:39" s="268" customFormat="1" ht="36" customHeight="1" thickBot="1" x14ac:dyDescent="0.25">
      <c r="A284" s="350" t="s">
        <v>1115</v>
      </c>
      <c r="B284" s="351" t="s">
        <v>423</v>
      </c>
      <c r="C284" s="352">
        <f>+C283+C257+C231+C222+C186+C83+C47</f>
        <v>7609067</v>
      </c>
      <c r="D284" s="352">
        <f>+D283+D257+D231+D222+D186+D83+D47</f>
        <v>7631383</v>
      </c>
      <c r="E284" s="352">
        <v>6799239.3370000012</v>
      </c>
      <c r="F284" s="352">
        <v>7609066.5250000004</v>
      </c>
      <c r="G284" s="352">
        <f t="shared" ref="G284:H284" si="45">+G283+G257+G231+G222+G186+G83+G47</f>
        <v>12160</v>
      </c>
      <c r="H284" s="352">
        <f t="shared" si="45"/>
        <v>12160</v>
      </c>
      <c r="I284" s="352">
        <v>16551.808000000001</v>
      </c>
      <c r="J284" s="352">
        <v>12160</v>
      </c>
      <c r="K284" s="352">
        <f t="shared" ref="K284:L284" si="46">+K283+K257+K231+K222+K186+K83+K47</f>
        <v>884008</v>
      </c>
      <c r="L284" s="352">
        <f t="shared" si="46"/>
        <v>884008</v>
      </c>
      <c r="M284" s="352">
        <v>879914.09299999999</v>
      </c>
      <c r="N284" s="352">
        <v>884008</v>
      </c>
      <c r="O284" s="352">
        <f t="shared" ref="O284:P284" si="47">+O283+O257+O231+O222+O186+O83+O47</f>
        <v>1184232</v>
      </c>
      <c r="P284" s="352">
        <f t="shared" si="47"/>
        <v>1184232</v>
      </c>
      <c r="Q284" s="352">
        <v>1223662.3500000001</v>
      </c>
      <c r="R284" s="352">
        <v>1184232</v>
      </c>
      <c r="S284" s="352">
        <f t="shared" ref="S284:T284" si="48">+S283+S257+S231+S222+S186+S83+S47</f>
        <v>35759</v>
      </c>
      <c r="T284" s="352">
        <f t="shared" si="48"/>
        <v>35759</v>
      </c>
      <c r="U284" s="352">
        <v>35636</v>
      </c>
      <c r="V284" s="352">
        <v>35759</v>
      </c>
      <c r="W284" s="352">
        <f t="shared" ref="W284:X284" si="49">+W283+W257+W231+W222+W186+W83+W47</f>
        <v>22429</v>
      </c>
      <c r="X284" s="352">
        <f t="shared" si="49"/>
        <v>22429</v>
      </c>
      <c r="Y284" s="352">
        <v>23991.901999999998</v>
      </c>
      <c r="Z284" s="352">
        <v>22429</v>
      </c>
      <c r="AA284" s="352">
        <f t="shared" ref="AA284:AB284" si="50">+AA283+AA257+AA231+AA222+AA186+AA83+AA47</f>
        <v>54193</v>
      </c>
      <c r="AB284" s="352">
        <f t="shared" si="50"/>
        <v>54193</v>
      </c>
      <c r="AC284" s="352">
        <v>48507.748</v>
      </c>
      <c r="AD284" s="352">
        <v>54193</v>
      </c>
      <c r="AE284" s="352">
        <f t="shared" ref="AE284:AF284" si="51">+AE283+AE257+AE231+AE222+AE186+AE83+AE47</f>
        <v>12000</v>
      </c>
      <c r="AF284" s="352">
        <f t="shared" si="51"/>
        <v>12000</v>
      </c>
      <c r="AG284" s="352">
        <v>14342.535</v>
      </c>
      <c r="AH284" s="352">
        <v>12000</v>
      </c>
      <c r="AI284" s="224">
        <f t="shared" si="42"/>
        <v>9813848</v>
      </c>
      <c r="AJ284" s="224">
        <f t="shared" si="43"/>
        <v>9836164</v>
      </c>
      <c r="AK284" s="224">
        <f t="shared" si="44"/>
        <v>9041845.7730000019</v>
      </c>
      <c r="AL284" s="224">
        <f t="shared" si="40"/>
        <v>9813847.5250000004</v>
      </c>
      <c r="AM284" s="225">
        <f t="shared" si="41"/>
        <v>2204781</v>
      </c>
    </row>
    <row r="285" spans="1:39" s="307" customFormat="1" ht="27.75" hidden="1" customHeight="1" x14ac:dyDescent="0.2">
      <c r="A285" s="220" t="s">
        <v>424</v>
      </c>
      <c r="B285" s="247"/>
      <c r="C285" s="247"/>
      <c r="D285" s="247"/>
      <c r="E285" s="247"/>
      <c r="F285" s="305"/>
      <c r="G285" s="305"/>
      <c r="H285" s="305"/>
      <c r="I285" s="305"/>
      <c r="J285" s="223"/>
      <c r="K285" s="223"/>
      <c r="L285" s="223"/>
      <c r="M285" s="223"/>
      <c r="N285" s="223"/>
      <c r="O285" s="223"/>
      <c r="P285" s="223"/>
      <c r="Q285" s="223"/>
      <c r="R285" s="223"/>
      <c r="S285" s="223"/>
      <c r="T285" s="223"/>
      <c r="U285" s="223"/>
      <c r="V285" s="223"/>
      <c r="W285" s="223"/>
      <c r="X285" s="223"/>
      <c r="Y285" s="223"/>
      <c r="Z285" s="223"/>
      <c r="AA285" s="223"/>
      <c r="AB285" s="223"/>
      <c r="AC285" s="223"/>
      <c r="AD285" s="223"/>
      <c r="AE285" s="223"/>
      <c r="AF285" s="223"/>
      <c r="AG285" s="223"/>
      <c r="AH285" s="223"/>
      <c r="AI285" s="224">
        <f t="shared" si="42"/>
        <v>0</v>
      </c>
      <c r="AJ285" s="224">
        <f t="shared" si="43"/>
        <v>0</v>
      </c>
      <c r="AK285" s="224">
        <f t="shared" si="44"/>
        <v>0</v>
      </c>
      <c r="AL285" s="224">
        <f t="shared" si="40"/>
        <v>0</v>
      </c>
      <c r="AM285" s="225">
        <f t="shared" si="41"/>
        <v>0</v>
      </c>
    </row>
    <row r="286" spans="1:39" s="311" customFormat="1" ht="30" hidden="1" customHeight="1" x14ac:dyDescent="0.2">
      <c r="A286" s="227" t="s">
        <v>425</v>
      </c>
      <c r="B286" s="310"/>
      <c r="C286" s="310"/>
      <c r="D286" s="310"/>
      <c r="E286" s="310"/>
      <c r="F286" s="279"/>
      <c r="G286" s="279"/>
      <c r="H286" s="279"/>
      <c r="I286" s="279"/>
      <c r="J286" s="230"/>
      <c r="K286" s="230"/>
      <c r="L286" s="230"/>
      <c r="M286" s="230"/>
      <c r="N286" s="230"/>
      <c r="O286" s="230"/>
      <c r="P286" s="230"/>
      <c r="Q286" s="230"/>
      <c r="R286" s="230"/>
      <c r="S286" s="230"/>
      <c r="T286" s="230"/>
      <c r="U286" s="230"/>
      <c r="V286" s="230"/>
      <c r="W286" s="230"/>
      <c r="X286" s="230"/>
      <c r="Y286" s="230"/>
      <c r="Z286" s="230"/>
      <c r="AA286" s="230"/>
      <c r="AB286" s="230"/>
      <c r="AC286" s="230"/>
      <c r="AD286" s="230"/>
      <c r="AE286" s="230"/>
      <c r="AF286" s="230"/>
      <c r="AG286" s="230"/>
      <c r="AH286" s="230"/>
      <c r="AI286" s="224">
        <f t="shared" si="42"/>
        <v>0</v>
      </c>
      <c r="AJ286" s="224">
        <f t="shared" si="43"/>
        <v>0</v>
      </c>
      <c r="AK286" s="224">
        <f t="shared" si="44"/>
        <v>0</v>
      </c>
      <c r="AL286" s="224">
        <f t="shared" si="40"/>
        <v>0</v>
      </c>
      <c r="AM286" s="225">
        <f t="shared" si="41"/>
        <v>0</v>
      </c>
    </row>
    <row r="287" spans="1:39" s="312" customFormat="1" ht="29.25" hidden="1" customHeight="1" x14ac:dyDescent="0.2">
      <c r="A287" s="227" t="s">
        <v>426</v>
      </c>
      <c r="B287" s="310"/>
      <c r="C287" s="310"/>
      <c r="D287" s="310"/>
      <c r="E287" s="310"/>
      <c r="F287" s="279">
        <v>0</v>
      </c>
      <c r="G287" s="279"/>
      <c r="H287" s="279"/>
      <c r="I287" s="279"/>
      <c r="J287" s="280">
        <v>0</v>
      </c>
      <c r="K287" s="280"/>
      <c r="L287" s="280"/>
      <c r="M287" s="280"/>
      <c r="N287" s="280">
        <v>0</v>
      </c>
      <c r="O287" s="280"/>
      <c r="P287" s="280"/>
      <c r="Q287" s="280"/>
      <c r="R287" s="241"/>
      <c r="S287" s="241"/>
      <c r="T287" s="241"/>
      <c r="U287" s="241"/>
      <c r="V287" s="241"/>
      <c r="W287" s="241"/>
      <c r="X287" s="241"/>
      <c r="Y287" s="241"/>
      <c r="Z287" s="241"/>
      <c r="AA287" s="241"/>
      <c r="AB287" s="241"/>
      <c r="AC287" s="241"/>
      <c r="AD287" s="241"/>
      <c r="AE287" s="241"/>
      <c r="AF287" s="241"/>
      <c r="AG287" s="241"/>
      <c r="AH287" s="241"/>
      <c r="AI287" s="224">
        <f t="shared" si="42"/>
        <v>0</v>
      </c>
      <c r="AJ287" s="224">
        <f t="shared" si="43"/>
        <v>0</v>
      </c>
      <c r="AK287" s="224">
        <f t="shared" si="44"/>
        <v>0</v>
      </c>
      <c r="AL287" s="224">
        <f t="shared" si="40"/>
        <v>0</v>
      </c>
      <c r="AM287" s="225">
        <f t="shared" si="41"/>
        <v>0</v>
      </c>
    </row>
    <row r="288" spans="1:39" s="253" customFormat="1" ht="30.75" hidden="1" customHeight="1" x14ac:dyDescent="0.2">
      <c r="A288" s="242" t="s">
        <v>427</v>
      </c>
      <c r="B288" s="252"/>
      <c r="C288" s="252"/>
      <c r="D288" s="252"/>
      <c r="E288" s="252"/>
      <c r="F288" s="244">
        <v>0</v>
      </c>
      <c r="G288" s="244"/>
      <c r="H288" s="244"/>
      <c r="I288" s="244"/>
      <c r="J288" s="244">
        <v>0</v>
      </c>
      <c r="K288" s="244"/>
      <c r="L288" s="244"/>
      <c r="M288" s="244"/>
      <c r="N288" s="244">
        <v>0</v>
      </c>
      <c r="O288" s="244"/>
      <c r="P288" s="244"/>
      <c r="Q288" s="244"/>
      <c r="R288" s="244">
        <v>0</v>
      </c>
      <c r="S288" s="244"/>
      <c r="T288" s="244"/>
      <c r="U288" s="244"/>
      <c r="V288" s="244">
        <v>0</v>
      </c>
      <c r="W288" s="244"/>
      <c r="X288" s="244"/>
      <c r="Y288" s="244"/>
      <c r="Z288" s="244">
        <v>0</v>
      </c>
      <c r="AA288" s="244"/>
      <c r="AB288" s="244"/>
      <c r="AC288" s="244"/>
      <c r="AD288" s="244">
        <v>0</v>
      </c>
      <c r="AE288" s="244"/>
      <c r="AF288" s="244"/>
      <c r="AG288" s="244"/>
      <c r="AH288" s="244">
        <v>0</v>
      </c>
      <c r="AI288" s="224">
        <f t="shared" si="42"/>
        <v>0</v>
      </c>
      <c r="AJ288" s="224">
        <f t="shared" si="43"/>
        <v>0</v>
      </c>
      <c r="AK288" s="224">
        <f t="shared" si="44"/>
        <v>0</v>
      </c>
      <c r="AL288" s="224">
        <f t="shared" si="40"/>
        <v>0</v>
      </c>
      <c r="AM288" s="225">
        <f t="shared" si="41"/>
        <v>0</v>
      </c>
    </row>
    <row r="289" spans="1:39" s="312" customFormat="1" ht="33" hidden="1" customHeight="1" x14ac:dyDescent="0.2">
      <c r="A289" s="227" t="s">
        <v>428</v>
      </c>
      <c r="B289" s="310"/>
      <c r="C289" s="310"/>
      <c r="D289" s="310"/>
      <c r="E289" s="310">
        <v>4757910</v>
      </c>
      <c r="F289" s="241">
        <v>0</v>
      </c>
      <c r="G289" s="241"/>
      <c r="H289" s="241"/>
      <c r="I289" s="241"/>
      <c r="J289" s="296">
        <v>0</v>
      </c>
      <c r="K289" s="296"/>
      <c r="L289" s="296"/>
      <c r="M289" s="296"/>
      <c r="N289" s="296">
        <v>0</v>
      </c>
      <c r="O289" s="296"/>
      <c r="P289" s="296"/>
      <c r="Q289" s="296"/>
      <c r="R289" s="241">
        <v>0</v>
      </c>
      <c r="S289" s="241"/>
      <c r="T289" s="241"/>
      <c r="U289" s="241"/>
      <c r="V289" s="241">
        <v>0</v>
      </c>
      <c r="W289" s="241"/>
      <c r="X289" s="241"/>
      <c r="Y289" s="241"/>
      <c r="Z289" s="241">
        <v>0</v>
      </c>
      <c r="AA289" s="241"/>
      <c r="AB289" s="241"/>
      <c r="AC289" s="241"/>
      <c r="AD289" s="241">
        <v>0</v>
      </c>
      <c r="AE289" s="241"/>
      <c r="AF289" s="241"/>
      <c r="AG289" s="241"/>
      <c r="AH289" s="241">
        <v>0</v>
      </c>
      <c r="AI289" s="224">
        <f t="shared" si="42"/>
        <v>0</v>
      </c>
      <c r="AJ289" s="224">
        <f t="shared" si="43"/>
        <v>0</v>
      </c>
      <c r="AK289" s="224">
        <f t="shared" si="44"/>
        <v>4757910</v>
      </c>
      <c r="AL289" s="224">
        <f t="shared" si="40"/>
        <v>0</v>
      </c>
      <c r="AM289" s="225">
        <f t="shared" si="41"/>
        <v>0</v>
      </c>
    </row>
    <row r="290" spans="1:39" s="261" customFormat="1" ht="20.100000000000001" hidden="1" customHeight="1" x14ac:dyDescent="0.2">
      <c r="A290" s="234" t="s">
        <v>429</v>
      </c>
      <c r="B290" s="308"/>
      <c r="C290" s="308"/>
      <c r="D290" s="308"/>
      <c r="E290" s="308"/>
      <c r="F290" s="283"/>
      <c r="G290" s="283"/>
      <c r="H290" s="283"/>
      <c r="I290" s="283"/>
      <c r="J290" s="296"/>
      <c r="K290" s="296"/>
      <c r="L290" s="296"/>
      <c r="M290" s="296"/>
      <c r="N290" s="280"/>
      <c r="O290" s="280"/>
      <c r="P290" s="280"/>
      <c r="Q290" s="280"/>
      <c r="R290" s="280"/>
      <c r="S290" s="280"/>
      <c r="T290" s="280"/>
      <c r="U290" s="280"/>
      <c r="V290" s="280"/>
      <c r="W290" s="280"/>
      <c r="X290" s="280"/>
      <c r="Y290" s="280"/>
      <c r="Z290" s="280"/>
      <c r="AA290" s="280"/>
      <c r="AB290" s="280"/>
      <c r="AC290" s="280"/>
      <c r="AD290" s="280"/>
      <c r="AE290" s="280"/>
      <c r="AF290" s="280"/>
      <c r="AG290" s="280"/>
      <c r="AH290" s="280"/>
      <c r="AI290" s="224">
        <f t="shared" si="42"/>
        <v>0</v>
      </c>
      <c r="AJ290" s="224">
        <f t="shared" si="43"/>
        <v>0</v>
      </c>
      <c r="AK290" s="224">
        <f t="shared" si="44"/>
        <v>0</v>
      </c>
      <c r="AL290" s="224">
        <f t="shared" si="40"/>
        <v>0</v>
      </c>
      <c r="AM290" s="225">
        <f t="shared" si="41"/>
        <v>0</v>
      </c>
    </row>
    <row r="291" spans="1:39" s="261" customFormat="1" ht="20.100000000000001" hidden="1" customHeight="1" x14ac:dyDescent="0.2">
      <c r="A291" s="234" t="s">
        <v>430</v>
      </c>
      <c r="B291" s="308"/>
      <c r="C291" s="308"/>
      <c r="D291" s="308"/>
      <c r="E291" s="308"/>
      <c r="F291" s="283"/>
      <c r="G291" s="283"/>
      <c r="H291" s="283"/>
      <c r="I291" s="283"/>
      <c r="J291" s="283"/>
      <c r="K291" s="283"/>
      <c r="L291" s="283"/>
      <c r="M291" s="283"/>
      <c r="N291" s="283"/>
      <c r="O291" s="283"/>
      <c r="P291" s="283"/>
      <c r="Q291" s="283"/>
      <c r="R291" s="280"/>
      <c r="S291" s="280"/>
      <c r="T291" s="280"/>
      <c r="U291" s="280"/>
      <c r="V291" s="280"/>
      <c r="W291" s="280"/>
      <c r="X291" s="280"/>
      <c r="Y291" s="280"/>
      <c r="Z291" s="280"/>
      <c r="AA291" s="280"/>
      <c r="AB291" s="280"/>
      <c r="AC291" s="280"/>
      <c r="AD291" s="280"/>
      <c r="AE291" s="280"/>
      <c r="AF291" s="280"/>
      <c r="AG291" s="280"/>
      <c r="AH291" s="280"/>
      <c r="AI291" s="224">
        <f t="shared" si="42"/>
        <v>0</v>
      </c>
      <c r="AJ291" s="224">
        <f t="shared" si="43"/>
        <v>0</v>
      </c>
      <c r="AK291" s="224">
        <f t="shared" si="44"/>
        <v>0</v>
      </c>
      <c r="AL291" s="224">
        <f t="shared" si="40"/>
        <v>0</v>
      </c>
      <c r="AM291" s="225">
        <f t="shared" si="41"/>
        <v>0</v>
      </c>
    </row>
    <row r="292" spans="1:39" s="311" customFormat="1" ht="30" hidden="1" customHeight="1" x14ac:dyDescent="0.2">
      <c r="A292" s="227" t="s">
        <v>431</v>
      </c>
      <c r="B292" s="310"/>
      <c r="C292" s="310"/>
      <c r="D292" s="310"/>
      <c r="E292" s="310"/>
      <c r="F292" s="241"/>
      <c r="G292" s="241"/>
      <c r="H292" s="241"/>
      <c r="I292" s="241"/>
      <c r="J292" s="296"/>
      <c r="K292" s="296"/>
      <c r="L292" s="296"/>
      <c r="M292" s="296"/>
      <c r="N292" s="296"/>
      <c r="O292" s="296"/>
      <c r="P292" s="296"/>
      <c r="Q292" s="296"/>
      <c r="R292" s="296"/>
      <c r="S292" s="296"/>
      <c r="T292" s="296"/>
      <c r="U292" s="296"/>
      <c r="V292" s="296"/>
      <c r="W292" s="296"/>
      <c r="X292" s="296"/>
      <c r="Y292" s="296"/>
      <c r="Z292" s="230"/>
      <c r="AA292" s="230"/>
      <c r="AB292" s="230"/>
      <c r="AC292" s="230"/>
      <c r="AD292" s="296"/>
      <c r="AE292" s="296"/>
      <c r="AF292" s="296"/>
      <c r="AG292" s="296"/>
      <c r="AH292" s="230"/>
      <c r="AI292" s="224">
        <f t="shared" si="42"/>
        <v>0</v>
      </c>
      <c r="AJ292" s="224">
        <f t="shared" si="43"/>
        <v>0</v>
      </c>
      <c r="AK292" s="224">
        <f t="shared" si="44"/>
        <v>0</v>
      </c>
      <c r="AL292" s="224">
        <f t="shared" si="40"/>
        <v>0</v>
      </c>
      <c r="AM292" s="225">
        <f t="shared" si="41"/>
        <v>0</v>
      </c>
    </row>
    <row r="293" spans="1:39" s="311" customFormat="1" ht="28.5" hidden="1" customHeight="1" x14ac:dyDescent="0.2">
      <c r="A293" s="227" t="s">
        <v>432</v>
      </c>
      <c r="B293" s="310"/>
      <c r="C293" s="310"/>
      <c r="D293" s="310"/>
      <c r="E293" s="310"/>
      <c r="F293" s="241"/>
      <c r="G293" s="241"/>
      <c r="H293" s="241"/>
      <c r="I293" s="241"/>
      <c r="J293" s="296"/>
      <c r="K293" s="296"/>
      <c r="L293" s="296"/>
      <c r="M293" s="296"/>
      <c r="N293" s="296"/>
      <c r="O293" s="296"/>
      <c r="P293" s="296"/>
      <c r="Q293" s="296"/>
      <c r="R293" s="296"/>
      <c r="S293" s="296"/>
      <c r="T293" s="296"/>
      <c r="U293" s="296"/>
      <c r="V293" s="296"/>
      <c r="W293" s="296"/>
      <c r="X293" s="296"/>
      <c r="Y293" s="296"/>
      <c r="Z293" s="230"/>
      <c r="AA293" s="230"/>
      <c r="AB293" s="230"/>
      <c r="AC293" s="230"/>
      <c r="AD293" s="296"/>
      <c r="AE293" s="296"/>
      <c r="AF293" s="296"/>
      <c r="AG293" s="296"/>
      <c r="AH293" s="230"/>
      <c r="AI293" s="224">
        <f t="shared" si="42"/>
        <v>0</v>
      </c>
      <c r="AJ293" s="224">
        <f t="shared" si="43"/>
        <v>0</v>
      </c>
      <c r="AK293" s="224">
        <f t="shared" si="44"/>
        <v>0</v>
      </c>
      <c r="AL293" s="224">
        <f t="shared" si="40"/>
        <v>0</v>
      </c>
      <c r="AM293" s="225">
        <f t="shared" si="41"/>
        <v>0</v>
      </c>
    </row>
    <row r="294" spans="1:39" s="311" customFormat="1" ht="28.5" hidden="1" customHeight="1" x14ac:dyDescent="0.2">
      <c r="A294" s="227" t="s">
        <v>433</v>
      </c>
      <c r="B294" s="310"/>
      <c r="C294" s="310"/>
      <c r="D294" s="310"/>
      <c r="E294" s="310"/>
      <c r="F294" s="241"/>
      <c r="G294" s="241"/>
      <c r="H294" s="241"/>
      <c r="I294" s="241"/>
      <c r="J294" s="296"/>
      <c r="K294" s="296"/>
      <c r="L294" s="296"/>
      <c r="M294" s="296"/>
      <c r="N294" s="296"/>
      <c r="O294" s="296"/>
      <c r="P294" s="296"/>
      <c r="Q294" s="296"/>
      <c r="R294" s="296"/>
      <c r="S294" s="296"/>
      <c r="T294" s="296"/>
      <c r="U294" s="296"/>
      <c r="V294" s="296"/>
      <c r="W294" s="296"/>
      <c r="X294" s="296"/>
      <c r="Y294" s="296"/>
      <c r="Z294" s="230"/>
      <c r="AA294" s="230"/>
      <c r="AB294" s="230"/>
      <c r="AC294" s="230"/>
      <c r="AD294" s="296"/>
      <c r="AE294" s="296"/>
      <c r="AF294" s="296"/>
      <c r="AG294" s="296"/>
      <c r="AH294" s="230"/>
      <c r="AI294" s="224">
        <f t="shared" si="42"/>
        <v>0</v>
      </c>
      <c r="AJ294" s="224">
        <f t="shared" si="43"/>
        <v>0</v>
      </c>
      <c r="AK294" s="224">
        <f t="shared" si="44"/>
        <v>0</v>
      </c>
      <c r="AL294" s="224">
        <f t="shared" si="40"/>
        <v>0</v>
      </c>
      <c r="AM294" s="225">
        <f t="shared" si="41"/>
        <v>0</v>
      </c>
    </row>
    <row r="295" spans="1:39" s="253" customFormat="1" ht="28.5" hidden="1" customHeight="1" x14ac:dyDescent="0.2">
      <c r="A295" s="242" t="s">
        <v>434</v>
      </c>
      <c r="B295" s="252"/>
      <c r="C295" s="244"/>
      <c r="D295" s="244"/>
      <c r="E295" s="244">
        <v>4757910</v>
      </c>
      <c r="F295" s="244"/>
      <c r="G295" s="244"/>
      <c r="H295" s="244"/>
      <c r="I295" s="244"/>
      <c r="J295" s="244">
        <v>0</v>
      </c>
      <c r="K295" s="244"/>
      <c r="L295" s="244"/>
      <c r="M295" s="244"/>
      <c r="N295" s="244">
        <v>0</v>
      </c>
      <c r="O295" s="244"/>
      <c r="P295" s="244"/>
      <c r="Q295" s="244"/>
      <c r="R295" s="244">
        <v>0</v>
      </c>
      <c r="S295" s="244"/>
      <c r="T295" s="244"/>
      <c r="U295" s="244"/>
      <c r="V295" s="244">
        <v>0</v>
      </c>
      <c r="W295" s="244"/>
      <c r="X295" s="244"/>
      <c r="Y295" s="244"/>
      <c r="Z295" s="244">
        <v>0</v>
      </c>
      <c r="AA295" s="244"/>
      <c r="AB295" s="244"/>
      <c r="AC295" s="244"/>
      <c r="AD295" s="244">
        <v>0</v>
      </c>
      <c r="AE295" s="244"/>
      <c r="AF295" s="244"/>
      <c r="AG295" s="244"/>
      <c r="AH295" s="244">
        <v>0</v>
      </c>
      <c r="AI295" s="224">
        <f t="shared" si="42"/>
        <v>0</v>
      </c>
      <c r="AJ295" s="224">
        <f t="shared" si="43"/>
        <v>0</v>
      </c>
      <c r="AK295" s="224">
        <f t="shared" si="44"/>
        <v>4757910</v>
      </c>
      <c r="AL295" s="224">
        <f t="shared" si="40"/>
        <v>0</v>
      </c>
      <c r="AM295" s="225">
        <f t="shared" si="41"/>
        <v>0</v>
      </c>
    </row>
    <row r="296" spans="1:39" s="311" customFormat="1" ht="27" customHeight="1" x14ac:dyDescent="0.2">
      <c r="A296" s="315" t="s">
        <v>435</v>
      </c>
      <c r="B296" s="310"/>
      <c r="C296" s="1068">
        <v>2538800</v>
      </c>
      <c r="D296" s="1068">
        <v>2538800</v>
      </c>
      <c r="E296" s="1068">
        <v>4428152</v>
      </c>
      <c r="F296" s="1072">
        <v>2538800</v>
      </c>
      <c r="G296" s="354">
        <v>300000</v>
      </c>
      <c r="H296" s="354">
        <v>300000</v>
      </c>
      <c r="I296" s="354">
        <v>626275</v>
      </c>
      <c r="J296" s="306">
        <v>300000</v>
      </c>
      <c r="K296" s="306">
        <v>80000</v>
      </c>
      <c r="L296" s="306">
        <v>80000</v>
      </c>
      <c r="M296" s="306">
        <v>795257.60400000005</v>
      </c>
      <c r="N296" s="296">
        <v>80000</v>
      </c>
      <c r="O296" s="296">
        <v>1235390</v>
      </c>
      <c r="P296" s="296">
        <v>1235390</v>
      </c>
      <c r="Q296" s="296">
        <v>403537.56099999999</v>
      </c>
      <c r="R296" s="296">
        <v>1235390</v>
      </c>
      <c r="S296" s="296">
        <v>57000</v>
      </c>
      <c r="T296" s="296">
        <v>57000</v>
      </c>
      <c r="U296" s="296">
        <v>119951.546</v>
      </c>
      <c r="V296" s="296">
        <v>57000</v>
      </c>
      <c r="W296" s="296">
        <v>17000</v>
      </c>
      <c r="X296" s="296">
        <v>17000</v>
      </c>
      <c r="Y296" s="296">
        <v>35869.654000000002</v>
      </c>
      <c r="Z296" s="230">
        <v>17000</v>
      </c>
      <c r="AA296" s="230">
        <v>20000</v>
      </c>
      <c r="AB296" s="230">
        <v>20000</v>
      </c>
      <c r="AC296" s="230">
        <v>37639.962</v>
      </c>
      <c r="AD296" s="296">
        <v>20000</v>
      </c>
      <c r="AE296" s="296">
        <v>6000</v>
      </c>
      <c r="AF296" s="296">
        <v>6000</v>
      </c>
      <c r="AG296" s="296">
        <v>11741.672</v>
      </c>
      <c r="AH296" s="230">
        <v>6000</v>
      </c>
      <c r="AI296" s="224">
        <f t="shared" si="42"/>
        <v>4254190</v>
      </c>
      <c r="AJ296" s="224">
        <f t="shared" si="43"/>
        <v>4254190</v>
      </c>
      <c r="AK296" s="224">
        <f t="shared" si="44"/>
        <v>6458424.9990000008</v>
      </c>
      <c r="AL296" s="224">
        <f t="shared" si="40"/>
        <v>4254190</v>
      </c>
      <c r="AM296" s="225">
        <f t="shared" si="41"/>
        <v>1715390</v>
      </c>
    </row>
    <row r="297" spans="1:39" s="311" customFormat="1" ht="27.75" customHeight="1" x14ac:dyDescent="0.2">
      <c r="A297" s="227" t="s">
        <v>436</v>
      </c>
      <c r="B297" s="310"/>
      <c r="C297" s="310"/>
      <c r="D297" s="310"/>
      <c r="E297" s="310"/>
      <c r="F297" s="241"/>
      <c r="G297" s="241"/>
      <c r="H297" s="241"/>
      <c r="I297" s="241"/>
      <c r="J297" s="296"/>
      <c r="K297" s="296"/>
      <c r="L297" s="296"/>
      <c r="M297" s="296"/>
      <c r="N297" s="296"/>
      <c r="O297" s="296"/>
      <c r="P297" s="296"/>
      <c r="Q297" s="296"/>
      <c r="R297" s="296"/>
      <c r="S297" s="296"/>
      <c r="T297" s="296"/>
      <c r="U297" s="296"/>
      <c r="V297" s="296"/>
      <c r="W297" s="296"/>
      <c r="X297" s="296"/>
      <c r="Y297" s="296"/>
      <c r="Z297" s="230"/>
      <c r="AA297" s="230"/>
      <c r="AB297" s="230"/>
      <c r="AC297" s="230"/>
      <c r="AD297" s="296"/>
      <c r="AE297" s="296"/>
      <c r="AF297" s="296"/>
      <c r="AG297" s="296"/>
      <c r="AH297" s="230"/>
      <c r="AI297" s="224">
        <f t="shared" si="42"/>
        <v>0</v>
      </c>
      <c r="AJ297" s="224">
        <f t="shared" si="43"/>
        <v>0</v>
      </c>
      <c r="AK297" s="224">
        <f t="shared" si="44"/>
        <v>0</v>
      </c>
      <c r="AL297" s="224">
        <f t="shared" si="40"/>
        <v>0</v>
      </c>
      <c r="AM297" s="225">
        <f t="shared" si="41"/>
        <v>0</v>
      </c>
    </row>
    <row r="298" spans="1:39" s="253" customFormat="1" ht="20.100000000000001" customHeight="1" x14ac:dyDescent="0.2">
      <c r="A298" s="242" t="s">
        <v>1116</v>
      </c>
      <c r="B298" s="252"/>
      <c r="C298" s="244">
        <f>+C296+C297</f>
        <v>2538800</v>
      </c>
      <c r="D298" s="244">
        <f>+D296+D297</f>
        <v>2538800</v>
      </c>
      <c r="E298" s="244">
        <v>4428152</v>
      </c>
      <c r="F298" s="244">
        <v>2538800</v>
      </c>
      <c r="G298" s="244">
        <f>+G296+G297</f>
        <v>300000</v>
      </c>
      <c r="H298" s="244">
        <f>+H296+H297</f>
        <v>300000</v>
      </c>
      <c r="I298" s="244">
        <v>626275</v>
      </c>
      <c r="J298" s="244">
        <v>300000</v>
      </c>
      <c r="K298" s="244">
        <f>+K296+K297</f>
        <v>80000</v>
      </c>
      <c r="L298" s="244">
        <f>+L296+L297</f>
        <v>80000</v>
      </c>
      <c r="M298" s="244">
        <v>795257.60400000005</v>
      </c>
      <c r="N298" s="244">
        <v>80000</v>
      </c>
      <c r="O298" s="244">
        <f>+O296+O297</f>
        <v>1235390</v>
      </c>
      <c r="P298" s="244">
        <f>+P296+P297</f>
        <v>1235390</v>
      </c>
      <c r="Q298" s="244">
        <v>403537.56099999999</v>
      </c>
      <c r="R298" s="244">
        <v>1235390</v>
      </c>
      <c r="S298" s="244">
        <f>+S296+S297</f>
        <v>57000</v>
      </c>
      <c r="T298" s="244">
        <f>+T296+T297</f>
        <v>57000</v>
      </c>
      <c r="U298" s="244">
        <v>119951.546</v>
      </c>
      <c r="V298" s="244">
        <v>57000</v>
      </c>
      <c r="W298" s="244">
        <f>+W296+W297</f>
        <v>17000</v>
      </c>
      <c r="X298" s="244">
        <f>+X296+X297</f>
        <v>17000</v>
      </c>
      <c r="Y298" s="244">
        <v>35869.654000000002</v>
      </c>
      <c r="Z298" s="244">
        <v>17000</v>
      </c>
      <c r="AA298" s="244">
        <f>+AA296+AA297</f>
        <v>20000</v>
      </c>
      <c r="AB298" s="244">
        <f>+AB296+AB297</f>
        <v>20000</v>
      </c>
      <c r="AC298" s="244">
        <v>37639.962</v>
      </c>
      <c r="AD298" s="244">
        <v>20000</v>
      </c>
      <c r="AE298" s="244">
        <f>+AE296+AE297</f>
        <v>6000</v>
      </c>
      <c r="AF298" s="244">
        <f>+AF296+AF297</f>
        <v>6000</v>
      </c>
      <c r="AG298" s="244">
        <v>11741.672</v>
      </c>
      <c r="AH298" s="244">
        <v>6000</v>
      </c>
      <c r="AI298" s="224">
        <f t="shared" si="42"/>
        <v>4254190</v>
      </c>
      <c r="AJ298" s="224">
        <f t="shared" si="43"/>
        <v>4254190</v>
      </c>
      <c r="AK298" s="224">
        <f t="shared" si="44"/>
        <v>6458424.9990000008</v>
      </c>
      <c r="AL298" s="224">
        <f t="shared" si="40"/>
        <v>4254190</v>
      </c>
      <c r="AM298" s="225">
        <f t="shared" si="41"/>
        <v>1715390</v>
      </c>
    </row>
    <row r="299" spans="1:39" s="311" customFormat="1" ht="20.100000000000001" customHeight="1" x14ac:dyDescent="0.2">
      <c r="A299" s="227" t="s">
        <v>437</v>
      </c>
      <c r="B299" s="310"/>
      <c r="C299" s="310"/>
      <c r="D299" s="310">
        <v>116854</v>
      </c>
      <c r="E299" s="310">
        <v>536781.69400000002</v>
      </c>
      <c r="F299" s="296">
        <v>0</v>
      </c>
      <c r="G299" s="296"/>
      <c r="H299" s="296"/>
      <c r="I299" s="296"/>
      <c r="J299" s="296"/>
      <c r="K299" s="296"/>
      <c r="L299" s="296"/>
      <c r="M299" s="296"/>
      <c r="N299" s="296"/>
      <c r="O299" s="296"/>
      <c r="P299" s="296"/>
      <c r="Q299" s="296"/>
      <c r="R299" s="296"/>
      <c r="S299" s="296"/>
      <c r="T299" s="296"/>
      <c r="U299" s="296"/>
      <c r="V299" s="296"/>
      <c r="W299" s="296"/>
      <c r="X299" s="296"/>
      <c r="Y299" s="296"/>
      <c r="Z299" s="230"/>
      <c r="AA299" s="230"/>
      <c r="AB299" s="230"/>
      <c r="AC299" s="230"/>
      <c r="AD299" s="296"/>
      <c r="AE299" s="296"/>
      <c r="AF299" s="296"/>
      <c r="AG299" s="296"/>
      <c r="AH299" s="230"/>
      <c r="AI299" s="224">
        <f t="shared" si="42"/>
        <v>0</v>
      </c>
      <c r="AJ299" s="224">
        <f t="shared" si="43"/>
        <v>116854</v>
      </c>
      <c r="AK299" s="224">
        <f t="shared" si="44"/>
        <v>536781.69400000002</v>
      </c>
      <c r="AL299" s="224">
        <f t="shared" si="40"/>
        <v>0</v>
      </c>
      <c r="AM299" s="225">
        <f t="shared" si="41"/>
        <v>0</v>
      </c>
    </row>
    <row r="300" spans="1:39" s="311" customFormat="1" ht="28.5" hidden="1" customHeight="1" x14ac:dyDescent="0.2">
      <c r="A300" s="227" t="s">
        <v>438</v>
      </c>
      <c r="B300" s="310"/>
      <c r="C300" s="310"/>
      <c r="D300" s="310"/>
      <c r="E300" s="310"/>
      <c r="F300" s="296"/>
      <c r="G300" s="296"/>
      <c r="H300" s="296"/>
      <c r="I300" s="296"/>
      <c r="J300" s="296"/>
      <c r="K300" s="296"/>
      <c r="L300" s="296"/>
      <c r="M300" s="296"/>
      <c r="N300" s="296"/>
      <c r="O300" s="296"/>
      <c r="P300" s="296"/>
      <c r="Q300" s="296"/>
      <c r="R300" s="296"/>
      <c r="S300" s="296"/>
      <c r="T300" s="296"/>
      <c r="U300" s="296"/>
      <c r="V300" s="296"/>
      <c r="W300" s="296"/>
      <c r="X300" s="296"/>
      <c r="Y300" s="296"/>
      <c r="Z300" s="230"/>
      <c r="AA300" s="230"/>
      <c r="AB300" s="230"/>
      <c r="AC300" s="230"/>
      <c r="AD300" s="296"/>
      <c r="AE300" s="296"/>
      <c r="AF300" s="296"/>
      <c r="AG300" s="296"/>
      <c r="AH300" s="230"/>
      <c r="AI300" s="224">
        <f t="shared" si="42"/>
        <v>0</v>
      </c>
      <c r="AJ300" s="224">
        <f t="shared" si="43"/>
        <v>0</v>
      </c>
      <c r="AK300" s="224">
        <f t="shared" si="44"/>
        <v>0</v>
      </c>
      <c r="AL300" s="224">
        <f t="shared" si="40"/>
        <v>0</v>
      </c>
      <c r="AM300" s="225">
        <f t="shared" si="41"/>
        <v>0</v>
      </c>
    </row>
    <row r="301" spans="1:39" s="311" customFormat="1" ht="20.100000000000001" customHeight="1" x14ac:dyDescent="0.2">
      <c r="A301" s="315" t="s">
        <v>439</v>
      </c>
      <c r="B301" s="310"/>
      <c r="C301" s="310"/>
      <c r="D301" s="310"/>
      <c r="E301" s="310"/>
      <c r="F301" s="296"/>
      <c r="G301" s="230">
        <v>1219690</v>
      </c>
      <c r="H301" s="230">
        <v>1219690</v>
      </c>
      <c r="I301" s="296">
        <v>998455</v>
      </c>
      <c r="J301" s="230">
        <v>1219690</v>
      </c>
      <c r="K301" s="230">
        <v>205663</v>
      </c>
      <c r="L301" s="230">
        <v>205663</v>
      </c>
      <c r="M301" s="230">
        <v>6318</v>
      </c>
      <c r="N301" s="230">
        <v>205663</v>
      </c>
      <c r="O301" s="230">
        <v>1386798</v>
      </c>
      <c r="P301" s="230">
        <v>1386798</v>
      </c>
      <c r="Q301" s="230">
        <v>2449959</v>
      </c>
      <c r="R301" s="230">
        <v>1386798</v>
      </c>
      <c r="S301" s="230">
        <v>823686</v>
      </c>
      <c r="T301" s="230">
        <v>823686</v>
      </c>
      <c r="U301" s="296">
        <v>878860</v>
      </c>
      <c r="V301" s="230">
        <v>823686</v>
      </c>
      <c r="W301" s="230">
        <v>467267.5</v>
      </c>
      <c r="X301" s="230">
        <v>467267.5</v>
      </c>
      <c r="Y301" s="296">
        <v>391537</v>
      </c>
      <c r="Z301" s="230">
        <v>467267.5</v>
      </c>
      <c r="AA301" s="230">
        <v>421471</v>
      </c>
      <c r="AB301" s="230">
        <v>421471</v>
      </c>
      <c r="AC301" s="230">
        <v>445590</v>
      </c>
      <c r="AD301" s="230">
        <v>421471</v>
      </c>
      <c r="AE301" s="230">
        <v>77055</v>
      </c>
      <c r="AF301" s="230">
        <v>77055</v>
      </c>
      <c r="AG301" s="296">
        <v>53897</v>
      </c>
      <c r="AH301" s="230">
        <v>77055</v>
      </c>
      <c r="AI301" s="224">
        <f t="shared" si="42"/>
        <v>4601630.5</v>
      </c>
      <c r="AJ301" s="224">
        <f t="shared" si="43"/>
        <v>4601630.5</v>
      </c>
      <c r="AK301" s="224">
        <f t="shared" si="44"/>
        <v>5224616</v>
      </c>
      <c r="AL301" s="224">
        <f>F301+J301+N301+R301+V301+Z301+AD301+AH301</f>
        <v>4601630.5</v>
      </c>
      <c r="AM301" s="225">
        <f t="shared" si="41"/>
        <v>4601630.5</v>
      </c>
    </row>
    <row r="302" spans="1:39" s="307" customFormat="1" ht="20.100000000000001" customHeight="1" x14ac:dyDescent="0.2">
      <c r="A302" s="227" t="s">
        <v>440</v>
      </c>
      <c r="B302" s="247"/>
      <c r="C302" s="306">
        <v>2540000</v>
      </c>
      <c r="D302" s="306">
        <v>2540000</v>
      </c>
      <c r="E302" s="247"/>
      <c r="F302" s="306">
        <v>2540000</v>
      </c>
      <c r="G302" s="306"/>
      <c r="H302" s="306"/>
      <c r="I302" s="306"/>
      <c r="J302" s="306"/>
      <c r="K302" s="306"/>
      <c r="L302" s="306"/>
      <c r="M302" s="306"/>
      <c r="N302" s="306"/>
      <c r="O302" s="306"/>
      <c r="P302" s="306"/>
      <c r="Q302" s="306"/>
      <c r="R302" s="223"/>
      <c r="S302" s="306"/>
      <c r="T302" s="306"/>
      <c r="U302" s="306"/>
      <c r="V302" s="306"/>
      <c r="W302" s="306"/>
      <c r="X302" s="306"/>
      <c r="Y302" s="306"/>
      <c r="Z302" s="223"/>
      <c r="AA302" s="223"/>
      <c r="AB302" s="223"/>
      <c r="AC302" s="223"/>
      <c r="AD302" s="306"/>
      <c r="AE302" s="306"/>
      <c r="AF302" s="306"/>
      <c r="AG302" s="306"/>
      <c r="AH302" s="223"/>
      <c r="AI302" s="224">
        <f t="shared" si="42"/>
        <v>2540000</v>
      </c>
      <c r="AJ302" s="224">
        <f t="shared" si="43"/>
        <v>2540000</v>
      </c>
      <c r="AK302" s="224">
        <f t="shared" si="44"/>
        <v>0</v>
      </c>
      <c r="AL302" s="224">
        <f t="shared" si="40"/>
        <v>2540000</v>
      </c>
      <c r="AM302" s="225">
        <f t="shared" si="41"/>
        <v>0</v>
      </c>
    </row>
    <row r="303" spans="1:39" s="307" customFormat="1" ht="20.100000000000001" customHeight="1" x14ac:dyDescent="0.2">
      <c r="A303" s="531" t="s">
        <v>730</v>
      </c>
      <c r="B303" s="247"/>
      <c r="C303" s="286">
        <v>40000</v>
      </c>
      <c r="D303" s="286">
        <v>40000</v>
      </c>
      <c r="E303" s="247"/>
      <c r="F303" s="286">
        <v>40000</v>
      </c>
      <c r="G303" s="306"/>
      <c r="H303" s="306"/>
      <c r="I303" s="306"/>
      <c r="J303" s="306"/>
      <c r="K303" s="306"/>
      <c r="L303" s="306"/>
      <c r="M303" s="306"/>
      <c r="N303" s="306"/>
      <c r="O303" s="306"/>
      <c r="P303" s="306"/>
      <c r="Q303" s="306"/>
      <c r="R303" s="306"/>
      <c r="S303" s="306"/>
      <c r="T303" s="306"/>
      <c r="U303" s="306"/>
      <c r="V303" s="306"/>
      <c r="W303" s="306"/>
      <c r="X303" s="306"/>
      <c r="Y303" s="306"/>
      <c r="Z303" s="223"/>
      <c r="AA303" s="223"/>
      <c r="AB303" s="223"/>
      <c r="AC303" s="223"/>
      <c r="AD303" s="306"/>
      <c r="AE303" s="306"/>
      <c r="AF303" s="306"/>
      <c r="AG303" s="306"/>
      <c r="AH303" s="223"/>
      <c r="AI303" s="224"/>
      <c r="AJ303" s="224"/>
      <c r="AK303" s="224"/>
      <c r="AL303" s="224"/>
      <c r="AM303" s="225"/>
    </row>
    <row r="304" spans="1:39" s="311" customFormat="1" ht="29.25" hidden="1" customHeight="1" x14ac:dyDescent="0.2">
      <c r="A304" s="227" t="s">
        <v>441</v>
      </c>
      <c r="B304" s="310"/>
      <c r="C304" s="310"/>
      <c r="D304" s="310"/>
      <c r="E304" s="310"/>
      <c r="F304" s="296"/>
      <c r="G304" s="296"/>
      <c r="H304" s="296"/>
      <c r="I304" s="296"/>
      <c r="J304" s="296"/>
      <c r="K304" s="296"/>
      <c r="L304" s="296"/>
      <c r="M304" s="296"/>
      <c r="N304" s="296"/>
      <c r="O304" s="296"/>
      <c r="P304" s="296"/>
      <c r="Q304" s="296"/>
      <c r="R304" s="296"/>
      <c r="S304" s="296"/>
      <c r="T304" s="296"/>
      <c r="U304" s="296"/>
      <c r="V304" s="296"/>
      <c r="W304" s="296"/>
      <c r="X304" s="296"/>
      <c r="Y304" s="296"/>
      <c r="Z304" s="230"/>
      <c r="AA304" s="230"/>
      <c r="AB304" s="230"/>
      <c r="AC304" s="230"/>
      <c r="AD304" s="296"/>
      <c r="AE304" s="296"/>
      <c r="AF304" s="296"/>
      <c r="AG304" s="296"/>
      <c r="AH304" s="230"/>
      <c r="AI304" s="224">
        <f t="shared" ref="AI304:AI318" si="52">C304+G304+K304+O304+S304+W304+AA304+AE304</f>
        <v>0</v>
      </c>
      <c r="AJ304" s="224">
        <f t="shared" ref="AJ304:AJ318" si="53">D304+H304+L304+P304+T304+X304+AB304+AF304</f>
        <v>0</v>
      </c>
      <c r="AK304" s="224">
        <f t="shared" ref="AK304:AK318" si="54">E304+I304+M304+Q304+U304+Y304+AC304+AG304</f>
        <v>0</v>
      </c>
      <c r="AL304" s="224">
        <f t="shared" si="40"/>
        <v>0</v>
      </c>
      <c r="AM304" s="225">
        <f t="shared" si="41"/>
        <v>0</v>
      </c>
    </row>
    <row r="305" spans="1:39" s="261" customFormat="1" ht="20.100000000000001" hidden="1" customHeight="1" x14ac:dyDescent="0.2">
      <c r="A305" s="234" t="s">
        <v>442</v>
      </c>
      <c r="B305" s="308"/>
      <c r="C305" s="308"/>
      <c r="D305" s="308"/>
      <c r="E305" s="308"/>
      <c r="F305" s="355"/>
      <c r="G305" s="355"/>
      <c r="H305" s="355"/>
      <c r="I305" s="355"/>
      <c r="J305" s="283"/>
      <c r="K305" s="283"/>
      <c r="L305" s="283"/>
      <c r="M305" s="283"/>
      <c r="N305" s="283"/>
      <c r="O305" s="283"/>
      <c r="P305" s="283"/>
      <c r="Q305" s="283"/>
      <c r="R305" s="283"/>
      <c r="S305" s="283"/>
      <c r="T305" s="283"/>
      <c r="U305" s="283"/>
      <c r="V305" s="283"/>
      <c r="W305" s="283"/>
      <c r="X305" s="283"/>
      <c r="Y305" s="283"/>
      <c r="Z305" s="237"/>
      <c r="AA305" s="237"/>
      <c r="AB305" s="237"/>
      <c r="AC305" s="237"/>
      <c r="AD305" s="283"/>
      <c r="AE305" s="283"/>
      <c r="AF305" s="283"/>
      <c r="AG305" s="283"/>
      <c r="AH305" s="237"/>
      <c r="AI305" s="224">
        <f t="shared" si="52"/>
        <v>0</v>
      </c>
      <c r="AJ305" s="224">
        <f t="shared" si="53"/>
        <v>0</v>
      </c>
      <c r="AK305" s="224">
        <f t="shared" si="54"/>
        <v>0</v>
      </c>
      <c r="AL305" s="224">
        <f t="shared" si="40"/>
        <v>0</v>
      </c>
      <c r="AM305" s="225">
        <f t="shared" si="41"/>
        <v>0</v>
      </c>
    </row>
    <row r="306" spans="1:39" s="261" customFormat="1" ht="20.100000000000001" hidden="1" customHeight="1" x14ac:dyDescent="0.2">
      <c r="A306" s="234" t="s">
        <v>443</v>
      </c>
      <c r="B306" s="308"/>
      <c r="C306" s="308"/>
      <c r="D306" s="308"/>
      <c r="E306" s="308"/>
      <c r="F306" s="355"/>
      <c r="G306" s="355"/>
      <c r="H306" s="355"/>
      <c r="I306" s="355"/>
      <c r="J306" s="283"/>
      <c r="K306" s="283"/>
      <c r="L306" s="283"/>
      <c r="M306" s="283"/>
      <c r="N306" s="283"/>
      <c r="O306" s="283"/>
      <c r="P306" s="283"/>
      <c r="Q306" s="283"/>
      <c r="R306" s="283"/>
      <c r="S306" s="283"/>
      <c r="T306" s="283"/>
      <c r="U306" s="283"/>
      <c r="V306" s="283"/>
      <c r="W306" s="283"/>
      <c r="X306" s="283"/>
      <c r="Y306" s="283"/>
      <c r="Z306" s="237"/>
      <c r="AA306" s="237"/>
      <c r="AB306" s="237"/>
      <c r="AC306" s="237"/>
      <c r="AD306" s="283"/>
      <c r="AE306" s="283"/>
      <c r="AF306" s="283"/>
      <c r="AG306" s="283"/>
      <c r="AH306" s="237"/>
      <c r="AI306" s="224">
        <f t="shared" si="52"/>
        <v>0</v>
      </c>
      <c r="AJ306" s="224">
        <f t="shared" si="53"/>
        <v>0</v>
      </c>
      <c r="AK306" s="224">
        <f t="shared" si="54"/>
        <v>0</v>
      </c>
      <c r="AL306" s="224">
        <f t="shared" si="40"/>
        <v>0</v>
      </c>
      <c r="AM306" s="225">
        <f t="shared" si="41"/>
        <v>0</v>
      </c>
    </row>
    <row r="307" spans="1:39" s="253" customFormat="1" ht="20.100000000000001" hidden="1" customHeight="1" x14ac:dyDescent="0.2">
      <c r="A307" s="242" t="s">
        <v>1117</v>
      </c>
      <c r="B307" s="252"/>
      <c r="C307" s="244">
        <v>0</v>
      </c>
      <c r="D307" s="244">
        <v>0</v>
      </c>
      <c r="E307" s="244">
        <v>0</v>
      </c>
      <c r="F307" s="244">
        <v>0</v>
      </c>
      <c r="G307" s="244">
        <v>0</v>
      </c>
      <c r="H307" s="244">
        <v>0</v>
      </c>
      <c r="I307" s="244">
        <v>0</v>
      </c>
      <c r="J307" s="244">
        <v>0</v>
      </c>
      <c r="K307" s="244"/>
      <c r="L307" s="244"/>
      <c r="M307" s="244"/>
      <c r="N307" s="244">
        <v>0</v>
      </c>
      <c r="O307" s="244"/>
      <c r="P307" s="244"/>
      <c r="Q307" s="244"/>
      <c r="R307" s="244">
        <v>0</v>
      </c>
      <c r="S307" s="244"/>
      <c r="T307" s="244"/>
      <c r="U307" s="244"/>
      <c r="V307" s="244">
        <v>0</v>
      </c>
      <c r="W307" s="244"/>
      <c r="X307" s="244"/>
      <c r="Y307" s="244"/>
      <c r="Z307" s="244">
        <v>0</v>
      </c>
      <c r="AA307" s="244"/>
      <c r="AB307" s="244"/>
      <c r="AC307" s="244"/>
      <c r="AD307" s="244">
        <v>0</v>
      </c>
      <c r="AE307" s="244"/>
      <c r="AF307" s="244"/>
      <c r="AG307" s="244"/>
      <c r="AH307" s="244">
        <v>0</v>
      </c>
      <c r="AI307" s="224">
        <f t="shared" si="52"/>
        <v>0</v>
      </c>
      <c r="AJ307" s="224">
        <f t="shared" si="53"/>
        <v>0</v>
      </c>
      <c r="AK307" s="224">
        <f t="shared" si="54"/>
        <v>0</v>
      </c>
      <c r="AL307" s="224">
        <f t="shared" si="40"/>
        <v>0</v>
      </c>
      <c r="AM307" s="225">
        <f t="shared" si="41"/>
        <v>0</v>
      </c>
    </row>
    <row r="308" spans="1:39" s="253" customFormat="1" ht="35.25" customHeight="1" x14ac:dyDescent="0.2">
      <c r="A308" s="242" t="s">
        <v>1118</v>
      </c>
      <c r="B308" s="252"/>
      <c r="C308" s="270">
        <f>+C298+C299+C301+C302</f>
        <v>5078800</v>
      </c>
      <c r="D308" s="270">
        <f>+D298+D299+D301+D302</f>
        <v>5195654</v>
      </c>
      <c r="E308" s="270">
        <v>9722843.6940000001</v>
      </c>
      <c r="F308" s="270">
        <v>5078800</v>
      </c>
      <c r="G308" s="270">
        <f t="shared" ref="G308:H308" si="55">+G298+G299+G301+G302</f>
        <v>1519690</v>
      </c>
      <c r="H308" s="270">
        <f t="shared" si="55"/>
        <v>1519690</v>
      </c>
      <c r="I308" s="270">
        <v>1624730</v>
      </c>
      <c r="J308" s="270">
        <v>1519690</v>
      </c>
      <c r="K308" s="270">
        <f t="shared" ref="K308:L308" si="56">+K298+K299+K301+K302</f>
        <v>285663</v>
      </c>
      <c r="L308" s="270">
        <f t="shared" si="56"/>
        <v>285663</v>
      </c>
      <c r="M308" s="270">
        <v>801575.60400000005</v>
      </c>
      <c r="N308" s="270">
        <v>285663</v>
      </c>
      <c r="O308" s="270">
        <f t="shared" ref="O308:P308" si="57">+O298+O299+O301+O302</f>
        <v>2622188</v>
      </c>
      <c r="P308" s="270">
        <f t="shared" si="57"/>
        <v>2622188</v>
      </c>
      <c r="Q308" s="270">
        <v>2853496.5609999998</v>
      </c>
      <c r="R308" s="270">
        <v>2622188</v>
      </c>
      <c r="S308" s="270">
        <f t="shared" ref="S308:T308" si="58">+S298+S299+S301+S302</f>
        <v>880686</v>
      </c>
      <c r="T308" s="270">
        <f t="shared" si="58"/>
        <v>880686</v>
      </c>
      <c r="U308" s="270">
        <v>998811.54599999997</v>
      </c>
      <c r="V308" s="270">
        <v>880686</v>
      </c>
      <c r="W308" s="270">
        <f t="shared" ref="W308:X308" si="59">+W298+W299+W301+W302</f>
        <v>484267.5</v>
      </c>
      <c r="X308" s="270">
        <f t="shared" si="59"/>
        <v>484267.5</v>
      </c>
      <c r="Y308" s="270">
        <v>427406.65399999998</v>
      </c>
      <c r="Z308" s="270">
        <v>484267.5</v>
      </c>
      <c r="AA308" s="270">
        <f t="shared" ref="AA308:AB308" si="60">+AA298+AA299+AA301+AA302</f>
        <v>441471</v>
      </c>
      <c r="AB308" s="270">
        <f t="shared" si="60"/>
        <v>441471</v>
      </c>
      <c r="AC308" s="270">
        <v>483229.962</v>
      </c>
      <c r="AD308" s="270">
        <v>441471</v>
      </c>
      <c r="AE308" s="270">
        <f t="shared" ref="AE308:AF308" si="61">+AE298+AE299+AE301+AE302</f>
        <v>83055</v>
      </c>
      <c r="AF308" s="270">
        <f t="shared" si="61"/>
        <v>83055</v>
      </c>
      <c r="AG308" s="270">
        <v>65638.672000000006</v>
      </c>
      <c r="AH308" s="270">
        <v>83055</v>
      </c>
      <c r="AI308" s="224">
        <f t="shared" si="52"/>
        <v>11395820.5</v>
      </c>
      <c r="AJ308" s="224">
        <f t="shared" si="53"/>
        <v>11512674.5</v>
      </c>
      <c r="AK308" s="224">
        <f t="shared" si="54"/>
        <v>16977732.693</v>
      </c>
      <c r="AL308" s="224">
        <f t="shared" si="40"/>
        <v>11395820.5</v>
      </c>
      <c r="AM308" s="225">
        <f t="shared" si="41"/>
        <v>6317020.5</v>
      </c>
    </row>
    <row r="309" spans="1:39" s="311" customFormat="1" ht="30" hidden="1" customHeight="1" x14ac:dyDescent="0.2">
      <c r="A309" s="227" t="s">
        <v>444</v>
      </c>
      <c r="B309" s="310"/>
      <c r="C309" s="310"/>
      <c r="D309" s="310"/>
      <c r="E309" s="310"/>
      <c r="F309" s="296"/>
      <c r="G309" s="296"/>
      <c r="H309" s="296"/>
      <c r="I309" s="296"/>
      <c r="J309" s="296"/>
      <c r="K309" s="296"/>
      <c r="L309" s="296"/>
      <c r="M309" s="296"/>
      <c r="N309" s="296"/>
      <c r="O309" s="296"/>
      <c r="P309" s="296"/>
      <c r="Q309" s="296"/>
      <c r="R309" s="296"/>
      <c r="S309" s="296"/>
      <c r="T309" s="296"/>
      <c r="U309" s="296"/>
      <c r="V309" s="296"/>
      <c r="W309" s="296"/>
      <c r="X309" s="296"/>
      <c r="Y309" s="296"/>
      <c r="Z309" s="230"/>
      <c r="AA309" s="230"/>
      <c r="AB309" s="230"/>
      <c r="AC309" s="230"/>
      <c r="AD309" s="296"/>
      <c r="AE309" s="296"/>
      <c r="AF309" s="296"/>
      <c r="AG309" s="296"/>
      <c r="AH309" s="230"/>
      <c r="AI309" s="224">
        <f t="shared" si="52"/>
        <v>0</v>
      </c>
      <c r="AJ309" s="224">
        <f t="shared" si="53"/>
        <v>0</v>
      </c>
      <c r="AK309" s="224">
        <f t="shared" si="54"/>
        <v>0</v>
      </c>
      <c r="AL309" s="224">
        <f t="shared" si="40"/>
        <v>0</v>
      </c>
      <c r="AM309" s="225">
        <f t="shared" si="41"/>
        <v>0</v>
      </c>
    </row>
    <row r="310" spans="1:39" s="311" customFormat="1" ht="27.75" hidden="1" customHeight="1" x14ac:dyDescent="0.2">
      <c r="A310" s="227" t="s">
        <v>445</v>
      </c>
      <c r="B310" s="310"/>
      <c r="C310" s="310"/>
      <c r="D310" s="310"/>
      <c r="E310" s="310"/>
      <c r="F310" s="241"/>
      <c r="G310" s="241"/>
      <c r="H310" s="241"/>
      <c r="I310" s="241"/>
      <c r="J310" s="296"/>
      <c r="K310" s="296"/>
      <c r="L310" s="296"/>
      <c r="M310" s="296"/>
      <c r="N310" s="296"/>
      <c r="O310" s="296"/>
      <c r="P310" s="296"/>
      <c r="Q310" s="296"/>
      <c r="R310" s="296"/>
      <c r="S310" s="296"/>
      <c r="T310" s="296"/>
      <c r="U310" s="296"/>
      <c r="V310" s="296"/>
      <c r="W310" s="296"/>
      <c r="X310" s="296"/>
      <c r="Y310" s="296"/>
      <c r="Z310" s="230"/>
      <c r="AA310" s="230"/>
      <c r="AB310" s="230"/>
      <c r="AC310" s="230"/>
      <c r="AD310" s="296"/>
      <c r="AE310" s="296"/>
      <c r="AF310" s="296"/>
      <c r="AG310" s="296"/>
      <c r="AH310" s="230"/>
      <c r="AI310" s="224">
        <f t="shared" si="52"/>
        <v>0</v>
      </c>
      <c r="AJ310" s="224">
        <f t="shared" si="53"/>
        <v>0</v>
      </c>
      <c r="AK310" s="224">
        <f t="shared" si="54"/>
        <v>0</v>
      </c>
      <c r="AL310" s="224">
        <f t="shared" si="40"/>
        <v>0</v>
      </c>
      <c r="AM310" s="225">
        <f t="shared" si="41"/>
        <v>0</v>
      </c>
    </row>
    <row r="311" spans="1:39" s="307" customFormat="1" ht="20.100000000000001" hidden="1" customHeight="1" x14ac:dyDescent="0.2">
      <c r="A311" s="227" t="s">
        <v>446</v>
      </c>
      <c r="B311" s="247"/>
      <c r="C311" s="247"/>
      <c r="D311" s="247"/>
      <c r="E311" s="247"/>
      <c r="F311" s="241"/>
      <c r="G311" s="305"/>
      <c r="H311" s="305"/>
      <c r="I311" s="305"/>
      <c r="J311" s="306"/>
      <c r="K311" s="306"/>
      <c r="L311" s="306"/>
      <c r="M311" s="306"/>
      <c r="N311" s="306"/>
      <c r="O311" s="306"/>
      <c r="P311" s="306"/>
      <c r="Q311" s="306"/>
      <c r="R311" s="306"/>
      <c r="S311" s="306"/>
      <c r="T311" s="306"/>
      <c r="U311" s="306"/>
      <c r="V311" s="306"/>
      <c r="W311" s="306"/>
      <c r="X311" s="306"/>
      <c r="Y311" s="306"/>
      <c r="Z311" s="223"/>
      <c r="AA311" s="223"/>
      <c r="AB311" s="223"/>
      <c r="AC311" s="223"/>
      <c r="AD311" s="306"/>
      <c r="AE311" s="306"/>
      <c r="AF311" s="306"/>
      <c r="AG311" s="306"/>
      <c r="AH311" s="223"/>
      <c r="AI311" s="224">
        <f t="shared" si="52"/>
        <v>0</v>
      </c>
      <c r="AJ311" s="224">
        <f t="shared" si="53"/>
        <v>0</v>
      </c>
      <c r="AK311" s="224">
        <f t="shared" si="54"/>
        <v>0</v>
      </c>
      <c r="AL311" s="224">
        <f t="shared" si="40"/>
        <v>0</v>
      </c>
      <c r="AM311" s="225">
        <f t="shared" si="41"/>
        <v>0</v>
      </c>
    </row>
    <row r="312" spans="1:39" s="311" customFormat="1" ht="28.5" hidden="1" customHeight="1" x14ac:dyDescent="0.2">
      <c r="A312" s="227" t="s">
        <v>447</v>
      </c>
      <c r="B312" s="310"/>
      <c r="C312" s="310"/>
      <c r="D312" s="310"/>
      <c r="E312" s="310"/>
      <c r="F312" s="241"/>
      <c r="G312" s="241"/>
      <c r="H312" s="241"/>
      <c r="I312" s="241"/>
      <c r="J312" s="296"/>
      <c r="K312" s="296"/>
      <c r="L312" s="296"/>
      <c r="M312" s="296"/>
      <c r="N312" s="296"/>
      <c r="O312" s="296"/>
      <c r="P312" s="296"/>
      <c r="Q312" s="296"/>
      <c r="R312" s="296"/>
      <c r="S312" s="296"/>
      <c r="T312" s="296"/>
      <c r="U312" s="296"/>
      <c r="V312" s="296"/>
      <c r="W312" s="296"/>
      <c r="X312" s="296"/>
      <c r="Y312" s="296"/>
      <c r="Z312" s="230"/>
      <c r="AA312" s="230"/>
      <c r="AB312" s="230"/>
      <c r="AC312" s="230"/>
      <c r="AD312" s="296"/>
      <c r="AE312" s="296"/>
      <c r="AF312" s="296"/>
      <c r="AG312" s="296"/>
      <c r="AH312" s="230"/>
      <c r="AI312" s="224">
        <f t="shared" si="52"/>
        <v>0</v>
      </c>
      <c r="AJ312" s="224">
        <f t="shared" si="53"/>
        <v>0</v>
      </c>
      <c r="AK312" s="224">
        <f t="shared" si="54"/>
        <v>0</v>
      </c>
      <c r="AL312" s="224">
        <f t="shared" si="40"/>
        <v>0</v>
      </c>
      <c r="AM312" s="225">
        <f t="shared" si="41"/>
        <v>0</v>
      </c>
    </row>
    <row r="313" spans="1:39" s="311" customFormat="1" ht="30.75" hidden="1" customHeight="1" x14ac:dyDescent="0.2">
      <c r="A313" s="227" t="s">
        <v>448</v>
      </c>
      <c r="B313" s="310"/>
      <c r="C313" s="310"/>
      <c r="D313" s="310"/>
      <c r="E313" s="310"/>
      <c r="F313" s="296"/>
      <c r="G313" s="296"/>
      <c r="H313" s="296"/>
      <c r="I313" s="296"/>
      <c r="J313" s="296"/>
      <c r="K313" s="296"/>
      <c r="L313" s="296"/>
      <c r="M313" s="296"/>
      <c r="N313" s="296"/>
      <c r="O313" s="296"/>
      <c r="P313" s="296"/>
      <c r="Q313" s="296"/>
      <c r="R313" s="296"/>
      <c r="S313" s="296"/>
      <c r="T313" s="296"/>
      <c r="U313" s="296"/>
      <c r="V313" s="296"/>
      <c r="W313" s="296"/>
      <c r="X313" s="296"/>
      <c r="Y313" s="296"/>
      <c r="Z313" s="230"/>
      <c r="AA313" s="230"/>
      <c r="AB313" s="230"/>
      <c r="AC313" s="230"/>
      <c r="AD313" s="296"/>
      <c r="AE313" s="296"/>
      <c r="AF313" s="296"/>
      <c r="AG313" s="296"/>
      <c r="AH313" s="230"/>
      <c r="AI313" s="224">
        <f t="shared" si="52"/>
        <v>0</v>
      </c>
      <c r="AJ313" s="224">
        <f t="shared" si="53"/>
        <v>0</v>
      </c>
      <c r="AK313" s="224">
        <f t="shared" si="54"/>
        <v>0</v>
      </c>
      <c r="AL313" s="224">
        <f t="shared" si="40"/>
        <v>0</v>
      </c>
      <c r="AM313" s="225">
        <f t="shared" si="41"/>
        <v>0</v>
      </c>
    </row>
    <row r="314" spans="1:39" s="253" customFormat="1" ht="20.100000000000001" hidden="1" customHeight="1" x14ac:dyDescent="0.2">
      <c r="A314" s="242" t="s">
        <v>1119</v>
      </c>
      <c r="B314" s="252"/>
      <c r="C314" s="252"/>
      <c r="D314" s="252"/>
      <c r="E314" s="252"/>
      <c r="F314" s="356">
        <v>0</v>
      </c>
      <c r="G314" s="356"/>
      <c r="H314" s="356"/>
      <c r="I314" s="356"/>
      <c r="J314" s="356">
        <v>0</v>
      </c>
      <c r="K314" s="356"/>
      <c r="L314" s="356"/>
      <c r="M314" s="356"/>
      <c r="N314" s="356">
        <v>0</v>
      </c>
      <c r="O314" s="356"/>
      <c r="P314" s="356"/>
      <c r="Q314" s="356"/>
      <c r="R314" s="356">
        <v>0</v>
      </c>
      <c r="S314" s="356"/>
      <c r="T314" s="356"/>
      <c r="U314" s="356"/>
      <c r="V314" s="356">
        <v>0</v>
      </c>
      <c r="W314" s="356"/>
      <c r="X314" s="356"/>
      <c r="Y314" s="356"/>
      <c r="Z314" s="356">
        <v>0</v>
      </c>
      <c r="AA314" s="356"/>
      <c r="AB314" s="356"/>
      <c r="AC314" s="356"/>
      <c r="AD314" s="356">
        <v>0</v>
      </c>
      <c r="AE314" s="356"/>
      <c r="AF314" s="356"/>
      <c r="AG314" s="356"/>
      <c r="AH314" s="356">
        <v>0</v>
      </c>
      <c r="AI314" s="224">
        <f t="shared" si="52"/>
        <v>0</v>
      </c>
      <c r="AJ314" s="224">
        <f t="shared" si="53"/>
        <v>0</v>
      </c>
      <c r="AK314" s="224">
        <f t="shared" si="54"/>
        <v>0</v>
      </c>
      <c r="AL314" s="224">
        <f t="shared" si="40"/>
        <v>0</v>
      </c>
      <c r="AM314" s="225">
        <f t="shared" si="41"/>
        <v>0</v>
      </c>
    </row>
    <row r="315" spans="1:39" s="358" customFormat="1" ht="30" hidden="1" customHeight="1" x14ac:dyDescent="0.25">
      <c r="A315" s="246"/>
      <c r="B315" s="310"/>
      <c r="C315" s="353"/>
      <c r="D315" s="353"/>
      <c r="E315" s="353"/>
      <c r="F315" s="357">
        <v>0</v>
      </c>
      <c r="G315" s="357"/>
      <c r="H315" s="357"/>
      <c r="I315" s="357"/>
      <c r="J315" s="248"/>
      <c r="K315" s="248"/>
      <c r="L315" s="248"/>
      <c r="M315" s="248"/>
      <c r="N315" s="321">
        <v>0</v>
      </c>
      <c r="O315" s="321"/>
      <c r="P315" s="321"/>
      <c r="Q315" s="321"/>
      <c r="R315" s="248"/>
      <c r="S315" s="248"/>
      <c r="T315" s="248"/>
      <c r="U315" s="248"/>
      <c r="V315" s="248"/>
      <c r="W315" s="248"/>
      <c r="X315" s="248"/>
      <c r="Y315" s="248"/>
      <c r="Z315" s="248"/>
      <c r="AA315" s="248"/>
      <c r="AB315" s="248"/>
      <c r="AC315" s="248"/>
      <c r="AD315" s="248"/>
      <c r="AE315" s="248"/>
      <c r="AF315" s="248"/>
      <c r="AG315" s="248"/>
      <c r="AH315" s="248"/>
      <c r="AI315" s="224">
        <f t="shared" si="52"/>
        <v>0</v>
      </c>
      <c r="AJ315" s="224">
        <f t="shared" si="53"/>
        <v>0</v>
      </c>
      <c r="AK315" s="224">
        <f t="shared" si="54"/>
        <v>0</v>
      </c>
      <c r="AL315" s="224">
        <f t="shared" si="40"/>
        <v>0</v>
      </c>
      <c r="AM315" s="225">
        <f t="shared" si="41"/>
        <v>0</v>
      </c>
    </row>
    <row r="316" spans="1:39" s="359" customFormat="1" ht="20.100000000000001" hidden="1" customHeight="1" x14ac:dyDescent="0.25">
      <c r="A316" s="246" t="s">
        <v>449</v>
      </c>
      <c r="B316" s="310"/>
      <c r="C316" s="353"/>
      <c r="D316" s="353"/>
      <c r="E316" s="353"/>
      <c r="F316" s="357">
        <v>0</v>
      </c>
      <c r="G316" s="357"/>
      <c r="H316" s="357"/>
      <c r="I316" s="357"/>
      <c r="J316" s="321"/>
      <c r="K316" s="321"/>
      <c r="L316" s="321"/>
      <c r="M316" s="321"/>
      <c r="N316" s="321"/>
      <c r="O316" s="321"/>
      <c r="P316" s="321"/>
      <c r="Q316" s="321"/>
      <c r="R316" s="321"/>
      <c r="S316" s="321"/>
      <c r="T316" s="321"/>
      <c r="U316" s="321"/>
      <c r="V316" s="321"/>
      <c r="W316" s="321"/>
      <c r="X316" s="321"/>
      <c r="Y316" s="321"/>
      <c r="Z316" s="321"/>
      <c r="AA316" s="321"/>
      <c r="AB316" s="321"/>
      <c r="AC316" s="321"/>
      <c r="AD316" s="321"/>
      <c r="AE316" s="321"/>
      <c r="AF316" s="321"/>
      <c r="AG316" s="321"/>
      <c r="AH316" s="321"/>
      <c r="AI316" s="224">
        <f t="shared" si="52"/>
        <v>0</v>
      </c>
      <c r="AJ316" s="224">
        <f t="shared" si="53"/>
        <v>0</v>
      </c>
      <c r="AK316" s="224">
        <f t="shared" si="54"/>
        <v>0</v>
      </c>
      <c r="AL316" s="224">
        <f t="shared" si="40"/>
        <v>0</v>
      </c>
      <c r="AM316" s="225">
        <f t="shared" si="41"/>
        <v>0</v>
      </c>
    </row>
    <row r="317" spans="1:39" s="253" customFormat="1" ht="36" customHeight="1" thickBot="1" x14ac:dyDescent="0.25">
      <c r="A317" s="265" t="s">
        <v>114</v>
      </c>
      <c r="B317" s="340" t="s">
        <v>450</v>
      </c>
      <c r="C317" s="360">
        <f>+C308</f>
        <v>5078800</v>
      </c>
      <c r="D317" s="360">
        <f>+D308</f>
        <v>5195654</v>
      </c>
      <c r="E317" s="360">
        <v>9722843.6940000001</v>
      </c>
      <c r="F317" s="360">
        <v>5078800</v>
      </c>
      <c r="G317" s="360">
        <f t="shared" ref="G317:H317" si="62">+G308</f>
        <v>1519690</v>
      </c>
      <c r="H317" s="360">
        <f t="shared" si="62"/>
        <v>1519690</v>
      </c>
      <c r="I317" s="360">
        <v>1624730</v>
      </c>
      <c r="J317" s="360">
        <v>1519690</v>
      </c>
      <c r="K317" s="360">
        <f t="shared" ref="K317:L317" si="63">+K308</f>
        <v>285663</v>
      </c>
      <c r="L317" s="360">
        <f t="shared" si="63"/>
        <v>285663</v>
      </c>
      <c r="M317" s="360">
        <v>801575.60400000005</v>
      </c>
      <c r="N317" s="360">
        <v>285663</v>
      </c>
      <c r="O317" s="360">
        <f t="shared" ref="O317:P317" si="64">+O308</f>
        <v>2622188</v>
      </c>
      <c r="P317" s="360">
        <f t="shared" si="64"/>
        <v>2622188</v>
      </c>
      <c r="Q317" s="360">
        <v>2853496.5609999998</v>
      </c>
      <c r="R317" s="360">
        <v>2622188</v>
      </c>
      <c r="S317" s="360">
        <f t="shared" ref="S317:T317" si="65">+S308</f>
        <v>880686</v>
      </c>
      <c r="T317" s="360">
        <f t="shared" si="65"/>
        <v>880686</v>
      </c>
      <c r="U317" s="360">
        <v>998811.54599999997</v>
      </c>
      <c r="V317" s="360">
        <v>880686</v>
      </c>
      <c r="W317" s="360">
        <f t="shared" ref="W317:X317" si="66">+W308</f>
        <v>484267.5</v>
      </c>
      <c r="X317" s="360">
        <f t="shared" si="66"/>
        <v>484267.5</v>
      </c>
      <c r="Y317" s="360">
        <v>427406.65399999998</v>
      </c>
      <c r="Z317" s="360">
        <v>484267.5</v>
      </c>
      <c r="AA317" s="360">
        <f t="shared" ref="AA317:AB317" si="67">+AA308</f>
        <v>441471</v>
      </c>
      <c r="AB317" s="360">
        <f t="shared" si="67"/>
        <v>441471</v>
      </c>
      <c r="AC317" s="360">
        <v>483229.962</v>
      </c>
      <c r="AD317" s="360">
        <v>441471</v>
      </c>
      <c r="AE317" s="360">
        <f t="shared" ref="AE317:AF317" si="68">+AE308</f>
        <v>83055</v>
      </c>
      <c r="AF317" s="360">
        <f t="shared" si="68"/>
        <v>83055</v>
      </c>
      <c r="AG317" s="360">
        <v>65638.672000000006</v>
      </c>
      <c r="AH317" s="360">
        <v>83055</v>
      </c>
      <c r="AI317" s="224">
        <f t="shared" si="52"/>
        <v>11395820.5</v>
      </c>
      <c r="AJ317" s="224">
        <f t="shared" si="53"/>
        <v>11512674.5</v>
      </c>
      <c r="AK317" s="224">
        <f t="shared" si="54"/>
        <v>16977732.693</v>
      </c>
      <c r="AL317" s="224">
        <f t="shared" si="40"/>
        <v>11395820.5</v>
      </c>
      <c r="AM317" s="225">
        <f t="shared" si="41"/>
        <v>6317020.5</v>
      </c>
    </row>
    <row r="318" spans="1:39" s="340" customFormat="1" ht="33" customHeight="1" thickBot="1" x14ac:dyDescent="0.3">
      <c r="A318" s="361" t="s">
        <v>88</v>
      </c>
      <c r="B318" s="362"/>
      <c r="C318" s="361">
        <f>+C284+C317</f>
        <v>12687867</v>
      </c>
      <c r="D318" s="361">
        <f>+D284+D317</f>
        <v>12827037</v>
      </c>
      <c r="E318" s="361">
        <v>16522083.031000001</v>
      </c>
      <c r="F318" s="361">
        <v>12687866.525</v>
      </c>
      <c r="G318" s="361">
        <f t="shared" ref="G318:H318" si="69">+G284+G317</f>
        <v>1531850</v>
      </c>
      <c r="H318" s="361">
        <f t="shared" si="69"/>
        <v>1531850</v>
      </c>
      <c r="I318" s="361">
        <v>1641281.808</v>
      </c>
      <c r="J318" s="361">
        <v>1531850</v>
      </c>
      <c r="K318" s="361">
        <f t="shared" ref="K318:L318" si="70">+K284+K317</f>
        <v>1169671</v>
      </c>
      <c r="L318" s="361">
        <f t="shared" si="70"/>
        <v>1169671</v>
      </c>
      <c r="M318" s="361">
        <v>1681489.6970000002</v>
      </c>
      <c r="N318" s="361">
        <v>1169671</v>
      </c>
      <c r="O318" s="361">
        <f t="shared" ref="O318:P318" si="71">+O284+O317</f>
        <v>3806420</v>
      </c>
      <c r="P318" s="361">
        <f t="shared" si="71"/>
        <v>3806420</v>
      </c>
      <c r="Q318" s="361">
        <v>4077158.9109999998</v>
      </c>
      <c r="R318" s="361">
        <v>3806420</v>
      </c>
      <c r="S318" s="361">
        <f t="shared" ref="S318:T318" si="72">+S284+S317</f>
        <v>916445</v>
      </c>
      <c r="T318" s="361">
        <f t="shared" si="72"/>
        <v>916445</v>
      </c>
      <c r="U318" s="361">
        <v>1034447.546</v>
      </c>
      <c r="V318" s="361">
        <v>916445</v>
      </c>
      <c r="W318" s="361">
        <f t="shared" ref="W318:X318" si="73">+W284+W317</f>
        <v>506696.5</v>
      </c>
      <c r="X318" s="361">
        <f t="shared" si="73"/>
        <v>506696.5</v>
      </c>
      <c r="Y318" s="361">
        <v>451398.55599999998</v>
      </c>
      <c r="Z318" s="361">
        <v>506696.5</v>
      </c>
      <c r="AA318" s="361">
        <f t="shared" ref="AA318:AB318" si="74">+AA284+AA317</f>
        <v>495664</v>
      </c>
      <c r="AB318" s="361">
        <f t="shared" si="74"/>
        <v>495664</v>
      </c>
      <c r="AC318" s="361">
        <v>531737.71</v>
      </c>
      <c r="AD318" s="361">
        <v>495664</v>
      </c>
      <c r="AE318" s="361">
        <f t="shared" ref="AE318:AF318" si="75">+AE284+AE317</f>
        <v>95055</v>
      </c>
      <c r="AF318" s="361">
        <f t="shared" si="75"/>
        <v>95055</v>
      </c>
      <c r="AG318" s="361">
        <v>79981.207000000009</v>
      </c>
      <c r="AH318" s="361">
        <v>95055</v>
      </c>
      <c r="AI318" s="224">
        <f t="shared" si="52"/>
        <v>21209668.5</v>
      </c>
      <c r="AJ318" s="224">
        <f t="shared" si="53"/>
        <v>21348838.5</v>
      </c>
      <c r="AK318" s="224">
        <f t="shared" si="54"/>
        <v>26019578.466000002</v>
      </c>
      <c r="AL318" s="224">
        <f>F318+J318+N318+R318+V318+Z318+AD318+AH318+1</f>
        <v>21209669.024999999</v>
      </c>
      <c r="AM318" s="225">
        <f t="shared" si="41"/>
        <v>8521801.5</v>
      </c>
    </row>
    <row r="319" spans="1:39" s="226" customFormat="1" ht="20.100000000000001" customHeight="1" x14ac:dyDescent="0.2">
      <c r="A319" s="363"/>
      <c r="B319" s="364"/>
      <c r="C319" s="364"/>
      <c r="D319" s="364"/>
      <c r="E319" s="364"/>
      <c r="F319" s="365"/>
      <c r="G319" s="366"/>
      <c r="H319" s="366"/>
      <c r="I319" s="366"/>
      <c r="J319" s="367"/>
      <c r="K319" s="367"/>
      <c r="L319" s="367"/>
      <c r="M319" s="367"/>
      <c r="N319" s="367"/>
      <c r="O319" s="367"/>
      <c r="P319" s="367"/>
      <c r="Q319" s="367"/>
      <c r="AL319" s="368"/>
      <c r="AM319" s="369"/>
    </row>
    <row r="320" spans="1:39" ht="20.100000000000001" customHeight="1" x14ac:dyDescent="0.2">
      <c r="C320" s="371"/>
      <c r="D320" s="371">
        <f>+D318-C318</f>
        <v>139170</v>
      </c>
      <c r="E320" s="312">
        <f>+E318-'3. kiadások'!E315</f>
        <v>4525276.4330000021</v>
      </c>
      <c r="F320" s="312"/>
      <c r="G320" s="372"/>
      <c r="H320" s="372"/>
      <c r="I320" s="372"/>
      <c r="J320" s="372"/>
      <c r="M320" s="372"/>
      <c r="Q320" s="372"/>
      <c r="U320" s="372"/>
    </row>
    <row r="321" spans="3:9" ht="20.100000000000001" customHeight="1" x14ac:dyDescent="0.2">
      <c r="C321" s="371"/>
      <c r="D321" s="371"/>
      <c r="E321" s="371"/>
      <c r="F321" s="312"/>
      <c r="G321" s="372"/>
      <c r="H321" s="372"/>
      <c r="I321" s="372"/>
    </row>
    <row r="322" spans="3:9" ht="20.100000000000001" customHeight="1" x14ac:dyDescent="0.2">
      <c r="C322" s="371"/>
      <c r="D322" s="371"/>
      <c r="E322" s="371"/>
      <c r="F322" s="312"/>
      <c r="G322" s="372"/>
      <c r="H322" s="372"/>
      <c r="I322" s="372"/>
    </row>
    <row r="323" spans="3:9" ht="20.100000000000001" customHeight="1" x14ac:dyDescent="0.2">
      <c r="C323" s="371"/>
      <c r="D323" s="371"/>
      <c r="E323" s="371"/>
      <c r="F323" s="312"/>
      <c r="G323" s="372"/>
      <c r="H323" s="372"/>
      <c r="I323" s="372"/>
    </row>
    <row r="324" spans="3:9" ht="20.100000000000001" customHeight="1" x14ac:dyDescent="0.2">
      <c r="C324" s="371"/>
      <c r="D324" s="371"/>
      <c r="E324" s="371"/>
      <c r="F324" s="312"/>
      <c r="G324" s="372"/>
      <c r="H324" s="372"/>
      <c r="I324" s="372"/>
    </row>
    <row r="325" spans="3:9" ht="20.100000000000001" customHeight="1" x14ac:dyDescent="0.2">
      <c r="C325" s="371"/>
      <c r="D325" s="371"/>
      <c r="E325" s="371"/>
      <c r="F325" s="312"/>
      <c r="G325" s="372"/>
      <c r="H325" s="372"/>
      <c r="I325" s="372"/>
    </row>
    <row r="326" spans="3:9" ht="20.100000000000001" customHeight="1" x14ac:dyDescent="0.2">
      <c r="C326" s="371"/>
      <c r="D326" s="371"/>
      <c r="E326" s="371"/>
      <c r="F326" s="312"/>
      <c r="G326" s="372"/>
      <c r="H326" s="372"/>
      <c r="I326" s="372"/>
    </row>
    <row r="327" spans="3:9" ht="20.100000000000001" customHeight="1" x14ac:dyDescent="0.2">
      <c r="C327" s="371"/>
      <c r="D327" s="371"/>
      <c r="E327" s="371"/>
      <c r="F327" s="312"/>
      <c r="G327" s="372"/>
      <c r="H327" s="372"/>
      <c r="I327" s="372"/>
    </row>
    <row r="328" spans="3:9" ht="20.100000000000001" customHeight="1" x14ac:dyDescent="0.2">
      <c r="C328" s="371"/>
      <c r="D328" s="371"/>
      <c r="E328" s="371"/>
      <c r="F328" s="312"/>
      <c r="G328" s="372"/>
      <c r="H328" s="372"/>
      <c r="I328" s="372"/>
    </row>
    <row r="329" spans="3:9" ht="20.100000000000001" customHeight="1" x14ac:dyDescent="0.2">
      <c r="C329" s="371"/>
      <c r="D329" s="371"/>
      <c r="E329" s="371"/>
      <c r="F329" s="312"/>
      <c r="G329" s="372"/>
      <c r="H329" s="372"/>
      <c r="I329" s="372"/>
    </row>
  </sheetData>
  <sheetProtection autoFilter="0" pivotTables="0"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pageMargins left="0.31496062992125984" right="0.23622047244094491" top="0.67881944444444442" bottom="0.55118110236220474" header="0.31496062992125984" footer="0.31496062992125984"/>
  <pageSetup paperSize="9" scale="85" fitToWidth="0" fitToHeight="0" orientation="landscape" r:id="rId1"/>
  <headerFooter>
    <oddHeader>&amp;C2. melléklet a .../2022. (V. .....) önkormányzati rendelethez
2. melléklet az 1/2022.(II. 28.) önkormányzati rendelethez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23"/>
  <sheetViews>
    <sheetView view="pageBreakPreview" topLeftCell="A204" zoomScaleNormal="100" zoomScaleSheetLayoutView="100" workbookViewId="0">
      <selection activeCell="D184" sqref="D184"/>
    </sheetView>
  </sheetViews>
  <sheetFormatPr defaultColWidth="9.140625" defaultRowHeight="12.75" x14ac:dyDescent="0.2"/>
  <cols>
    <col min="1" max="1" width="32.140625" style="389" customWidth="1"/>
    <col min="2" max="2" width="5.42578125" style="498" customWidth="1"/>
    <col min="3" max="4" width="12.7109375" style="523" customWidth="1"/>
    <col min="5" max="5" width="12.7109375" style="523" hidden="1" customWidth="1"/>
    <col min="6" max="6" width="12" style="524" hidden="1" customWidth="1"/>
    <col min="7" max="8" width="12.140625" style="524" customWidth="1"/>
    <col min="9" max="9" width="12.140625" style="524" hidden="1" customWidth="1"/>
    <col min="10" max="10" width="14.85546875" style="525" hidden="1" customWidth="1"/>
    <col min="11" max="11" width="11.85546875" style="525" customWidth="1"/>
    <col min="12" max="12" width="10.5703125" style="525" customWidth="1"/>
    <col min="13" max="13" width="11.5703125" style="525" hidden="1" customWidth="1"/>
    <col min="14" max="14" width="14.85546875" style="525" hidden="1" customWidth="1"/>
    <col min="15" max="15" width="12.140625" style="525" customWidth="1"/>
    <col min="16" max="16" width="11.42578125" style="525" customWidth="1"/>
    <col min="17" max="17" width="11.7109375" style="525" hidden="1" customWidth="1"/>
    <col min="18" max="18" width="15.42578125" style="525" hidden="1" customWidth="1"/>
    <col min="19" max="19" width="11.7109375" style="525" customWidth="1"/>
    <col min="20" max="20" width="12.85546875" style="525" customWidth="1"/>
    <col min="21" max="21" width="13.7109375" style="525" hidden="1" customWidth="1"/>
    <col min="22" max="22" width="12.85546875" style="525" hidden="1" customWidth="1"/>
    <col min="23" max="24" width="13.28515625" style="525" customWidth="1"/>
    <col min="25" max="25" width="13.28515625" style="525" hidden="1" customWidth="1"/>
    <col min="26" max="26" width="13.7109375" style="525" hidden="1" customWidth="1"/>
    <col min="27" max="27" width="10.7109375" style="525" customWidth="1"/>
    <col min="28" max="28" width="11.42578125" style="525" customWidth="1"/>
    <col min="29" max="29" width="9.42578125" style="525" hidden="1" customWidth="1"/>
    <col min="30" max="30" width="15" style="525" hidden="1" customWidth="1"/>
    <col min="31" max="31" width="10.42578125" style="525" customWidth="1"/>
    <col min="32" max="32" width="9.85546875" style="525" customWidth="1"/>
    <col min="33" max="33" width="9.28515625" style="525" hidden="1" customWidth="1"/>
    <col min="34" max="34" width="12.5703125" style="525" hidden="1" customWidth="1"/>
    <col min="35" max="36" width="12.5703125" style="525" customWidth="1"/>
    <col min="37" max="37" width="12.5703125" style="525" hidden="1" customWidth="1"/>
    <col min="38" max="38" width="12.42578125" style="526" hidden="1" customWidth="1"/>
    <col min="39" max="39" width="13.5703125" style="527" hidden="1" customWidth="1"/>
    <col min="40" max="40" width="14.28515625" style="389" customWidth="1"/>
    <col min="41" max="41" width="13.28515625" style="389" customWidth="1"/>
    <col min="42" max="16384" width="9.140625" style="389"/>
  </cols>
  <sheetData>
    <row r="1" spans="1:40" s="379" customFormat="1" ht="119.25" customHeight="1" x14ac:dyDescent="0.2">
      <c r="A1" s="378"/>
      <c r="B1" s="1170" t="s">
        <v>150</v>
      </c>
      <c r="C1" s="1172" t="s">
        <v>451</v>
      </c>
      <c r="D1" s="1173"/>
      <c r="E1" s="1173"/>
      <c r="F1" s="1173"/>
      <c r="G1" s="1163" t="s">
        <v>152</v>
      </c>
      <c r="H1" s="1163"/>
      <c r="I1" s="1163"/>
      <c r="J1" s="1164"/>
      <c r="K1" s="1162" t="s">
        <v>452</v>
      </c>
      <c r="L1" s="1163"/>
      <c r="M1" s="1163"/>
      <c r="N1" s="1164"/>
      <c r="O1" s="1162" t="s">
        <v>154</v>
      </c>
      <c r="P1" s="1163"/>
      <c r="Q1" s="1163"/>
      <c r="R1" s="1164"/>
      <c r="S1" s="1162" t="s">
        <v>155</v>
      </c>
      <c r="T1" s="1163"/>
      <c r="U1" s="1163"/>
      <c r="V1" s="1164"/>
      <c r="W1" s="1162" t="s">
        <v>156</v>
      </c>
      <c r="X1" s="1163"/>
      <c r="Y1" s="1163"/>
      <c r="Z1" s="1164"/>
      <c r="AA1" s="1162" t="s">
        <v>157</v>
      </c>
      <c r="AB1" s="1163"/>
      <c r="AC1" s="1163"/>
      <c r="AD1" s="1164"/>
      <c r="AE1" s="1162" t="s">
        <v>158</v>
      </c>
      <c r="AF1" s="1163"/>
      <c r="AG1" s="1163"/>
      <c r="AH1" s="1164"/>
      <c r="AI1" s="1167" t="s">
        <v>159</v>
      </c>
      <c r="AJ1" s="1168"/>
      <c r="AK1" s="1168"/>
      <c r="AL1" s="1169"/>
      <c r="AM1" s="213" t="s">
        <v>160</v>
      </c>
    </row>
    <row r="2" spans="1:40" s="379" customFormat="1" ht="50.25" customHeight="1" thickBot="1" x14ac:dyDescent="0.25">
      <c r="A2" s="215" t="s">
        <v>1080</v>
      </c>
      <c r="B2" s="1171"/>
      <c r="C2" s="216" t="s">
        <v>92</v>
      </c>
      <c r="D2" s="216" t="s">
        <v>1510</v>
      </c>
      <c r="E2" s="216" t="s">
        <v>729</v>
      </c>
      <c r="F2" s="216" t="s">
        <v>92</v>
      </c>
      <c r="G2" s="216" t="s">
        <v>92</v>
      </c>
      <c r="H2" s="216" t="s">
        <v>1510</v>
      </c>
      <c r="I2" s="216" t="s">
        <v>1081</v>
      </c>
      <c r="J2" s="216" t="s">
        <v>1082</v>
      </c>
      <c r="K2" s="216" t="s">
        <v>92</v>
      </c>
      <c r="L2" s="216" t="s">
        <v>1510</v>
      </c>
      <c r="M2" s="216" t="s">
        <v>1081</v>
      </c>
      <c r="N2" s="216" t="s">
        <v>1082</v>
      </c>
      <c r="O2" s="216" t="s">
        <v>92</v>
      </c>
      <c r="P2" s="216" t="s">
        <v>1510</v>
      </c>
      <c r="Q2" s="216" t="s">
        <v>1081</v>
      </c>
      <c r="R2" s="216" t="s">
        <v>1082</v>
      </c>
      <c r="S2" s="216" t="s">
        <v>92</v>
      </c>
      <c r="T2" s="216" t="s">
        <v>1510</v>
      </c>
      <c r="U2" s="216" t="s">
        <v>1081</v>
      </c>
      <c r="V2" s="216" t="s">
        <v>1082</v>
      </c>
      <c r="W2" s="216" t="s">
        <v>92</v>
      </c>
      <c r="X2" s="216" t="s">
        <v>1510</v>
      </c>
      <c r="Y2" s="216" t="s">
        <v>1081</v>
      </c>
      <c r="Z2" s="216" t="s">
        <v>1082</v>
      </c>
      <c r="AA2" s="216" t="s">
        <v>92</v>
      </c>
      <c r="AB2" s="216" t="s">
        <v>1510</v>
      </c>
      <c r="AC2" s="216" t="s">
        <v>1081</v>
      </c>
      <c r="AD2" s="216" t="s">
        <v>1082</v>
      </c>
      <c r="AE2" s="216" t="s">
        <v>92</v>
      </c>
      <c r="AF2" s="216" t="s">
        <v>1510</v>
      </c>
      <c r="AG2" s="216" t="s">
        <v>1081</v>
      </c>
      <c r="AH2" s="216" t="s">
        <v>1082</v>
      </c>
      <c r="AI2" s="217" t="s">
        <v>92</v>
      </c>
      <c r="AJ2" s="217" t="s">
        <v>1510</v>
      </c>
      <c r="AK2" s="216"/>
      <c r="AL2" s="217" t="s">
        <v>92</v>
      </c>
      <c r="AM2" s="218" t="s">
        <v>92</v>
      </c>
    </row>
    <row r="3" spans="1:40" ht="25.5" x14ac:dyDescent="0.2">
      <c r="A3" s="380" t="s">
        <v>453</v>
      </c>
      <c r="B3" s="381"/>
      <c r="C3" s="382"/>
      <c r="D3" s="382"/>
      <c r="E3" s="382"/>
      <c r="F3" s="383"/>
      <c r="G3" s="384">
        <v>828518</v>
      </c>
      <c r="H3" s="384">
        <f>828518-1400</f>
        <v>827118</v>
      </c>
      <c r="I3" s="384">
        <v>546459.62800000003</v>
      </c>
      <c r="J3" s="385">
        <v>828518</v>
      </c>
      <c r="K3" s="385">
        <v>750700</v>
      </c>
      <c r="L3" s="385">
        <f>750700-24963</f>
        <v>725737</v>
      </c>
      <c r="M3" s="385">
        <v>540105.33200000005</v>
      </c>
      <c r="N3" s="386">
        <v>750700</v>
      </c>
      <c r="O3" s="386">
        <v>430024</v>
      </c>
      <c r="P3" s="386">
        <f>430024</f>
        <v>430024</v>
      </c>
      <c r="Q3" s="386">
        <v>301361.21299999999</v>
      </c>
      <c r="R3" s="386">
        <v>430024</v>
      </c>
      <c r="S3" s="386">
        <v>529857</v>
      </c>
      <c r="T3" s="386">
        <f>529857-10000</f>
        <v>519857</v>
      </c>
      <c r="U3" s="386">
        <v>417237.07400000002</v>
      </c>
      <c r="V3" s="386">
        <v>529857</v>
      </c>
      <c r="W3" s="386">
        <v>277569</v>
      </c>
      <c r="X3" s="386">
        <f>277569-2500</f>
        <v>275069</v>
      </c>
      <c r="Y3" s="386">
        <v>205019.641</v>
      </c>
      <c r="Z3" s="386">
        <v>277569</v>
      </c>
      <c r="AA3" s="386">
        <v>270273</v>
      </c>
      <c r="AB3" s="386">
        <v>270273</v>
      </c>
      <c r="AC3" s="386">
        <v>221018.97700000001</v>
      </c>
      <c r="AD3" s="386">
        <v>270273</v>
      </c>
      <c r="AE3" s="386">
        <v>32886</v>
      </c>
      <c r="AF3" s="386">
        <f>32886-200</f>
        <v>32686</v>
      </c>
      <c r="AG3" s="386">
        <v>19436.863000000001</v>
      </c>
      <c r="AH3" s="386">
        <v>32886</v>
      </c>
      <c r="AI3" s="387">
        <f t="shared" ref="AI3:AK18" si="0">C3+G3+K3+O3+S3+W3+AA3+AE3</f>
        <v>3119827</v>
      </c>
      <c r="AJ3" s="387">
        <f t="shared" si="0"/>
        <v>3080764</v>
      </c>
      <c r="AK3" s="387">
        <f t="shared" si="0"/>
        <v>2250638.7280000001</v>
      </c>
      <c r="AL3" s="387">
        <f>F3+J3+N3+R3+V3+Z3+AD3+AH3</f>
        <v>3119827</v>
      </c>
      <c r="AM3" s="388">
        <f>J3+N3+R3+V3+Z3+AD3+AH3</f>
        <v>3119827</v>
      </c>
    </row>
    <row r="4" spans="1:40" x14ac:dyDescent="0.2">
      <c r="A4" s="380" t="s">
        <v>454</v>
      </c>
      <c r="B4" s="381"/>
      <c r="C4" s="382"/>
      <c r="D4" s="382"/>
      <c r="E4" s="382"/>
      <c r="F4" s="383"/>
      <c r="G4" s="384">
        <v>31000</v>
      </c>
      <c r="H4" s="384">
        <f>31000-216</f>
        <v>30784</v>
      </c>
      <c r="I4" s="384">
        <v>73343.126000000004</v>
      </c>
      <c r="J4" s="385">
        <v>31000</v>
      </c>
      <c r="K4" s="385">
        <v>0</v>
      </c>
      <c r="L4" s="385">
        <v>2100</v>
      </c>
      <c r="M4" s="385">
        <v>27938.02</v>
      </c>
      <c r="N4" s="386">
        <v>0</v>
      </c>
      <c r="O4" s="386">
        <v>35933</v>
      </c>
      <c r="P4" s="386">
        <f>35933</f>
        <v>35933</v>
      </c>
      <c r="Q4" s="386">
        <v>50735.898000000001</v>
      </c>
      <c r="R4" s="386">
        <v>35933</v>
      </c>
      <c r="S4" s="386">
        <v>44251</v>
      </c>
      <c r="T4" s="386">
        <v>44251</v>
      </c>
      <c r="U4" s="386">
        <v>77156.167000000001</v>
      </c>
      <c r="V4" s="386">
        <v>44251</v>
      </c>
      <c r="W4" s="386">
        <v>22725</v>
      </c>
      <c r="X4" s="386">
        <v>22725</v>
      </c>
      <c r="Y4" s="386">
        <v>34650.406999999999</v>
      </c>
      <c r="Z4" s="386">
        <v>22724.5</v>
      </c>
      <c r="AA4" s="386">
        <v>23977</v>
      </c>
      <c r="AB4" s="386">
        <v>23977</v>
      </c>
      <c r="AC4" s="386">
        <v>38528.266000000003</v>
      </c>
      <c r="AD4" s="386">
        <v>23977</v>
      </c>
      <c r="AE4" s="386">
        <v>2648</v>
      </c>
      <c r="AF4" s="386">
        <v>2648</v>
      </c>
      <c r="AG4" s="386">
        <v>3238.3180000000002</v>
      </c>
      <c r="AH4" s="386">
        <v>2648</v>
      </c>
      <c r="AI4" s="387">
        <f t="shared" si="0"/>
        <v>160534</v>
      </c>
      <c r="AJ4" s="387">
        <f t="shared" si="0"/>
        <v>162418</v>
      </c>
      <c r="AK4" s="387">
        <f t="shared" si="0"/>
        <v>305590.20200000005</v>
      </c>
      <c r="AL4" s="387">
        <f t="shared" ref="AL4:AL16" si="1">F4+J4+N4+R4+V4+Z4+AD4+AH4</f>
        <v>160533.5</v>
      </c>
      <c r="AM4" s="388">
        <f t="shared" ref="AM4:AM16" si="2">J4+N4+R4+V4+Z4+AD4+AH4</f>
        <v>160533.5</v>
      </c>
      <c r="AN4" s="390"/>
    </row>
    <row r="5" spans="1:40" x14ac:dyDescent="0.2">
      <c r="A5" s="380" t="s">
        <v>455</v>
      </c>
      <c r="B5" s="381"/>
      <c r="C5" s="382"/>
      <c r="D5" s="382"/>
      <c r="E5" s="382"/>
      <c r="F5" s="383"/>
      <c r="G5" s="384">
        <v>20000</v>
      </c>
      <c r="H5" s="384">
        <v>20000</v>
      </c>
      <c r="I5" s="384">
        <v>17956.136999999999</v>
      </c>
      <c r="J5" s="385">
        <v>20000</v>
      </c>
      <c r="K5" s="385">
        <v>0</v>
      </c>
      <c r="L5" s="385">
        <v>0</v>
      </c>
      <c r="M5" s="385"/>
      <c r="N5" s="386">
        <v>0</v>
      </c>
      <c r="O5" s="386">
        <v>3931</v>
      </c>
      <c r="P5" s="386">
        <v>3931</v>
      </c>
      <c r="Q5" s="386">
        <v>5377.1170000000002</v>
      </c>
      <c r="R5" s="386">
        <v>3931</v>
      </c>
      <c r="S5" s="386">
        <v>2000</v>
      </c>
      <c r="T5" s="386">
        <f>2000-1700</f>
        <v>300</v>
      </c>
      <c r="U5" s="386">
        <v>2776.2359999999999</v>
      </c>
      <c r="V5" s="386">
        <v>2000</v>
      </c>
      <c r="W5" s="386">
        <v>2000</v>
      </c>
      <c r="X5" s="386">
        <v>2000</v>
      </c>
      <c r="Y5" s="386">
        <v>1020</v>
      </c>
      <c r="Z5" s="386">
        <v>2000</v>
      </c>
      <c r="AA5" s="386">
        <v>8497</v>
      </c>
      <c r="AB5" s="386">
        <v>8497</v>
      </c>
      <c r="AC5" s="386">
        <v>5013.41</v>
      </c>
      <c r="AD5" s="386">
        <v>8497</v>
      </c>
      <c r="AE5" s="386">
        <v>1000</v>
      </c>
      <c r="AF5" s="386">
        <v>1000</v>
      </c>
      <c r="AG5" s="386">
        <v>960</v>
      </c>
      <c r="AH5" s="386">
        <v>1000</v>
      </c>
      <c r="AI5" s="387">
        <f t="shared" si="0"/>
        <v>37428</v>
      </c>
      <c r="AJ5" s="387">
        <f t="shared" si="0"/>
        <v>35728</v>
      </c>
      <c r="AK5" s="387">
        <f t="shared" si="0"/>
        <v>33102.9</v>
      </c>
      <c r="AL5" s="387">
        <f t="shared" si="1"/>
        <v>37428</v>
      </c>
      <c r="AM5" s="388">
        <f t="shared" si="2"/>
        <v>37428</v>
      </c>
    </row>
    <row r="6" spans="1:40" ht="25.5" x14ac:dyDescent="0.2">
      <c r="A6" s="380" t="s">
        <v>456</v>
      </c>
      <c r="B6" s="381"/>
      <c r="C6" s="382"/>
      <c r="D6" s="382"/>
      <c r="E6" s="382"/>
      <c r="F6" s="383"/>
      <c r="G6" s="384">
        <v>1000</v>
      </c>
      <c r="H6" s="384">
        <f>1000+1400</f>
        <v>2400</v>
      </c>
      <c r="I6" s="384">
        <v>1639.6</v>
      </c>
      <c r="J6" s="385">
        <v>1000</v>
      </c>
      <c r="K6" s="385">
        <v>0</v>
      </c>
      <c r="L6" s="385">
        <v>500</v>
      </c>
      <c r="M6" s="385">
        <v>9056.393</v>
      </c>
      <c r="N6" s="386">
        <v>0</v>
      </c>
      <c r="O6" s="386">
        <v>14458</v>
      </c>
      <c r="P6" s="386">
        <f>14458</f>
        <v>14458</v>
      </c>
      <c r="Q6" s="386">
        <v>11576.08</v>
      </c>
      <c r="R6" s="386">
        <v>14458</v>
      </c>
      <c r="S6" s="386">
        <v>0</v>
      </c>
      <c r="T6" s="386">
        <v>1700</v>
      </c>
      <c r="U6" s="386">
        <v>1217.829</v>
      </c>
      <c r="V6" s="386">
        <v>0</v>
      </c>
      <c r="W6" s="386">
        <v>3300</v>
      </c>
      <c r="X6" s="386">
        <v>3300</v>
      </c>
      <c r="Y6" s="386">
        <v>2786.511</v>
      </c>
      <c r="Z6" s="386">
        <v>3300</v>
      </c>
      <c r="AA6" s="386">
        <v>0</v>
      </c>
      <c r="AB6" s="386">
        <v>0</v>
      </c>
      <c r="AC6" s="386"/>
      <c r="AD6" s="386">
        <v>0</v>
      </c>
      <c r="AE6" s="386">
        <v>2360</v>
      </c>
      <c r="AF6" s="386">
        <v>2360</v>
      </c>
      <c r="AG6" s="386">
        <v>699.24800000000005</v>
      </c>
      <c r="AH6" s="386">
        <v>2360</v>
      </c>
      <c r="AI6" s="387">
        <f t="shared" si="0"/>
        <v>21118</v>
      </c>
      <c r="AJ6" s="387">
        <f t="shared" si="0"/>
        <v>24718</v>
      </c>
      <c r="AK6" s="387">
        <f t="shared" si="0"/>
        <v>26975.661</v>
      </c>
      <c r="AL6" s="387">
        <f t="shared" si="1"/>
        <v>21118</v>
      </c>
      <c r="AM6" s="388">
        <f t="shared" si="2"/>
        <v>21118</v>
      </c>
    </row>
    <row r="7" spans="1:40" x14ac:dyDescent="0.2">
      <c r="A7" s="380" t="s">
        <v>457</v>
      </c>
      <c r="B7" s="381"/>
      <c r="C7" s="382"/>
      <c r="D7" s="382"/>
      <c r="E7" s="382"/>
      <c r="F7" s="383"/>
      <c r="G7" s="384">
        <v>0</v>
      </c>
      <c r="H7" s="384">
        <v>0</v>
      </c>
      <c r="I7" s="384">
        <v>2891.6</v>
      </c>
      <c r="J7" s="385">
        <v>0</v>
      </c>
      <c r="K7" s="385">
        <v>0</v>
      </c>
      <c r="L7" s="385">
        <v>0</v>
      </c>
      <c r="M7" s="385"/>
      <c r="N7" s="386">
        <v>0</v>
      </c>
      <c r="O7" s="386">
        <v>0</v>
      </c>
      <c r="P7" s="386">
        <v>0</v>
      </c>
      <c r="Q7" s="386"/>
      <c r="R7" s="386">
        <v>0</v>
      </c>
      <c r="S7" s="386">
        <v>0</v>
      </c>
      <c r="T7" s="386">
        <v>0</v>
      </c>
      <c r="U7" s="386"/>
      <c r="V7" s="386">
        <v>0</v>
      </c>
      <c r="W7" s="386">
        <v>0</v>
      </c>
      <c r="X7" s="386">
        <v>0</v>
      </c>
      <c r="Y7" s="386"/>
      <c r="Z7" s="386">
        <v>0</v>
      </c>
      <c r="AA7" s="386">
        <v>0</v>
      </c>
      <c r="AB7" s="386">
        <v>0</v>
      </c>
      <c r="AC7" s="386"/>
      <c r="AD7" s="386">
        <v>0</v>
      </c>
      <c r="AE7" s="386">
        <v>0</v>
      </c>
      <c r="AF7" s="386">
        <v>0</v>
      </c>
      <c r="AG7" s="386"/>
      <c r="AH7" s="386">
        <v>0</v>
      </c>
      <c r="AI7" s="387">
        <f t="shared" si="0"/>
        <v>0</v>
      </c>
      <c r="AJ7" s="387">
        <f t="shared" si="0"/>
        <v>0</v>
      </c>
      <c r="AK7" s="387">
        <f t="shared" si="0"/>
        <v>2891.6</v>
      </c>
      <c r="AL7" s="387">
        <f t="shared" si="1"/>
        <v>0</v>
      </c>
      <c r="AM7" s="388">
        <f t="shared" si="2"/>
        <v>0</v>
      </c>
    </row>
    <row r="8" spans="1:40" x14ac:dyDescent="0.2">
      <c r="A8" s="380" t="s">
        <v>458</v>
      </c>
      <c r="B8" s="381"/>
      <c r="C8" s="382"/>
      <c r="D8" s="382"/>
      <c r="E8" s="382"/>
      <c r="F8" s="383"/>
      <c r="G8" s="384">
        <v>1541</v>
      </c>
      <c r="H8" s="384">
        <f>1541+216</f>
        <v>1757</v>
      </c>
      <c r="I8" s="384">
        <v>7118.3829999999998</v>
      </c>
      <c r="J8" s="385">
        <v>1540.8</v>
      </c>
      <c r="K8" s="385">
        <v>4600</v>
      </c>
      <c r="L8" s="385">
        <f>4600+22300</f>
        <v>26900</v>
      </c>
      <c r="M8" s="385">
        <v>15157.67</v>
      </c>
      <c r="N8" s="386">
        <v>4600</v>
      </c>
      <c r="O8" s="386">
        <v>933</v>
      </c>
      <c r="P8" s="386">
        <f>933</f>
        <v>933</v>
      </c>
      <c r="Q8" s="386"/>
      <c r="R8" s="386">
        <v>933</v>
      </c>
      <c r="S8" s="386">
        <v>6672</v>
      </c>
      <c r="T8" s="386">
        <v>6672</v>
      </c>
      <c r="U8" s="386">
        <v>9223.259</v>
      </c>
      <c r="V8" s="386">
        <v>6672</v>
      </c>
      <c r="W8" s="386">
        <v>5874</v>
      </c>
      <c r="X8" s="386">
        <v>5874</v>
      </c>
      <c r="Y8" s="386">
        <v>2220.4830000000002</v>
      </c>
      <c r="Z8" s="386">
        <v>5874</v>
      </c>
      <c r="AA8" s="386">
        <v>2680</v>
      </c>
      <c r="AB8" s="386">
        <v>2680</v>
      </c>
      <c r="AC8" s="386">
        <v>1902.615</v>
      </c>
      <c r="AD8" s="386">
        <v>2680</v>
      </c>
      <c r="AE8" s="386">
        <v>0</v>
      </c>
      <c r="AF8" s="386">
        <v>0</v>
      </c>
      <c r="AG8" s="386"/>
      <c r="AH8" s="386">
        <v>0</v>
      </c>
      <c r="AI8" s="387">
        <f t="shared" si="0"/>
        <v>22300</v>
      </c>
      <c r="AJ8" s="387">
        <f t="shared" si="0"/>
        <v>44816</v>
      </c>
      <c r="AK8" s="387">
        <f t="shared" si="0"/>
        <v>35622.409999999996</v>
      </c>
      <c r="AL8" s="387">
        <f t="shared" si="1"/>
        <v>22299.8</v>
      </c>
      <c r="AM8" s="388">
        <f t="shared" si="2"/>
        <v>22299.8</v>
      </c>
    </row>
    <row r="9" spans="1:40" x14ac:dyDescent="0.2">
      <c r="A9" s="380" t="s">
        <v>459</v>
      </c>
      <c r="B9" s="381"/>
      <c r="C9" s="382"/>
      <c r="D9" s="382"/>
      <c r="E9" s="382"/>
      <c r="F9" s="383"/>
      <c r="G9" s="384">
        <v>27864</v>
      </c>
      <c r="H9" s="384">
        <v>27864</v>
      </c>
      <c r="I9" s="384">
        <v>26716.237000000001</v>
      </c>
      <c r="J9" s="385">
        <v>27864</v>
      </c>
      <c r="K9" s="385">
        <v>14000</v>
      </c>
      <c r="L9" s="385">
        <v>14000</v>
      </c>
      <c r="M9" s="385">
        <v>12116.281999999999</v>
      </c>
      <c r="N9" s="386">
        <v>14000</v>
      </c>
      <c r="O9" s="386">
        <v>24261</v>
      </c>
      <c r="P9" s="386">
        <v>24261</v>
      </c>
      <c r="Q9" s="386">
        <v>20869.634999999998</v>
      </c>
      <c r="R9" s="386">
        <v>24261</v>
      </c>
      <c r="S9" s="386">
        <v>29283</v>
      </c>
      <c r="T9" s="386">
        <v>29283</v>
      </c>
      <c r="U9" s="386">
        <v>27748.059000000001</v>
      </c>
      <c r="V9" s="386">
        <v>29283</v>
      </c>
      <c r="W9" s="386">
        <v>13826</v>
      </c>
      <c r="X9" s="386">
        <v>13826</v>
      </c>
      <c r="Y9" s="386">
        <v>13430.572</v>
      </c>
      <c r="Z9" s="386">
        <v>13826</v>
      </c>
      <c r="AA9" s="386">
        <v>14869</v>
      </c>
      <c r="AB9" s="386">
        <v>14869</v>
      </c>
      <c r="AC9" s="386">
        <v>13967.574000000001</v>
      </c>
      <c r="AD9" s="386">
        <v>14869</v>
      </c>
      <c r="AE9" s="386">
        <v>2087</v>
      </c>
      <c r="AF9" s="386">
        <v>2087</v>
      </c>
      <c r="AG9" s="386">
        <v>1396.5419999999999</v>
      </c>
      <c r="AH9" s="386">
        <v>2087</v>
      </c>
      <c r="AI9" s="387">
        <f t="shared" si="0"/>
        <v>126190</v>
      </c>
      <c r="AJ9" s="387">
        <f t="shared" si="0"/>
        <v>126190</v>
      </c>
      <c r="AK9" s="387">
        <f t="shared" si="0"/>
        <v>116244.901</v>
      </c>
      <c r="AL9" s="387">
        <f t="shared" si="1"/>
        <v>126190</v>
      </c>
      <c r="AM9" s="388">
        <f t="shared" si="2"/>
        <v>126190</v>
      </c>
    </row>
    <row r="10" spans="1:40" x14ac:dyDescent="0.2">
      <c r="A10" s="380" t="s">
        <v>460</v>
      </c>
      <c r="B10" s="381"/>
      <c r="C10" s="382"/>
      <c r="D10" s="382"/>
      <c r="E10" s="382"/>
      <c r="F10" s="383"/>
      <c r="G10" s="384">
        <v>500</v>
      </c>
      <c r="H10" s="384">
        <v>500</v>
      </c>
      <c r="I10" s="384">
        <v>334.8</v>
      </c>
      <c r="J10" s="385">
        <v>500</v>
      </c>
      <c r="K10" s="385">
        <v>0</v>
      </c>
      <c r="L10" s="385">
        <v>0</v>
      </c>
      <c r="M10" s="385"/>
      <c r="N10" s="386">
        <v>0</v>
      </c>
      <c r="O10" s="386">
        <v>0</v>
      </c>
      <c r="P10" s="386">
        <v>0</v>
      </c>
      <c r="Q10" s="386"/>
      <c r="R10" s="386">
        <v>0</v>
      </c>
      <c r="S10" s="386">
        <v>0</v>
      </c>
      <c r="T10" s="386">
        <v>0</v>
      </c>
      <c r="U10" s="386"/>
      <c r="V10" s="386">
        <v>0</v>
      </c>
      <c r="W10" s="386">
        <v>5562</v>
      </c>
      <c r="X10" s="386">
        <v>5562</v>
      </c>
      <c r="Y10" s="386">
        <v>5612.7709999999997</v>
      </c>
      <c r="Z10" s="386">
        <v>5562</v>
      </c>
      <c r="AA10" s="386">
        <v>0</v>
      </c>
      <c r="AB10" s="386">
        <v>0</v>
      </c>
      <c r="AC10" s="386"/>
      <c r="AD10" s="386">
        <v>0</v>
      </c>
      <c r="AE10" s="386">
        <v>0</v>
      </c>
      <c r="AF10" s="386">
        <v>0</v>
      </c>
      <c r="AG10" s="386"/>
      <c r="AH10" s="386">
        <v>0</v>
      </c>
      <c r="AI10" s="387">
        <f t="shared" si="0"/>
        <v>6062</v>
      </c>
      <c r="AJ10" s="387">
        <f t="shared" si="0"/>
        <v>6062</v>
      </c>
      <c r="AK10" s="387">
        <f t="shared" si="0"/>
        <v>5947.5709999999999</v>
      </c>
      <c r="AL10" s="387">
        <f t="shared" si="1"/>
        <v>6062</v>
      </c>
      <c r="AM10" s="388">
        <f t="shared" si="2"/>
        <v>6062</v>
      </c>
    </row>
    <row r="11" spans="1:40" x14ac:dyDescent="0.2">
      <c r="A11" s="380" t="s">
        <v>461</v>
      </c>
      <c r="B11" s="381"/>
      <c r="C11" s="382"/>
      <c r="D11" s="382"/>
      <c r="E11" s="382"/>
      <c r="F11" s="383"/>
      <c r="G11" s="384">
        <v>18000</v>
      </c>
      <c r="H11" s="384">
        <v>18000</v>
      </c>
      <c r="I11" s="384">
        <v>15971.199000000001</v>
      </c>
      <c r="J11" s="385">
        <v>18000</v>
      </c>
      <c r="K11" s="385">
        <v>2500</v>
      </c>
      <c r="L11" s="385">
        <v>2500</v>
      </c>
      <c r="M11" s="385">
        <v>88.322000000000003</v>
      </c>
      <c r="N11" s="386">
        <v>2500</v>
      </c>
      <c r="O11" s="386">
        <v>4000</v>
      </c>
      <c r="P11" s="386">
        <v>4000</v>
      </c>
      <c r="Q11" s="386">
        <v>3387.4090000000001</v>
      </c>
      <c r="R11" s="386">
        <v>4000</v>
      </c>
      <c r="S11" s="386">
        <v>3746</v>
      </c>
      <c r="T11" s="386">
        <v>3746</v>
      </c>
      <c r="U11" s="386">
        <v>2344.085</v>
      </c>
      <c r="V11" s="386">
        <v>3746</v>
      </c>
      <c r="W11" s="386">
        <v>2249</v>
      </c>
      <c r="X11" s="386">
        <v>2249</v>
      </c>
      <c r="Y11" s="386">
        <v>101.70399999999999</v>
      </c>
      <c r="Z11" s="386">
        <v>2249</v>
      </c>
      <c r="AA11" s="386">
        <v>2346</v>
      </c>
      <c r="AB11" s="386">
        <v>2346</v>
      </c>
      <c r="AC11" s="386">
        <v>28.69</v>
      </c>
      <c r="AD11" s="386">
        <v>2346</v>
      </c>
      <c r="AE11" s="386">
        <v>262</v>
      </c>
      <c r="AF11" s="386">
        <v>262</v>
      </c>
      <c r="AG11" s="386">
        <v>163.02199999999999</v>
      </c>
      <c r="AH11" s="386">
        <v>262</v>
      </c>
      <c r="AI11" s="387">
        <f t="shared" si="0"/>
        <v>33103</v>
      </c>
      <c r="AJ11" s="387">
        <f t="shared" si="0"/>
        <v>33103</v>
      </c>
      <c r="AK11" s="387">
        <f t="shared" si="0"/>
        <v>22084.431</v>
      </c>
      <c r="AL11" s="387">
        <f t="shared" si="1"/>
        <v>33103</v>
      </c>
      <c r="AM11" s="388">
        <f t="shared" si="2"/>
        <v>33103</v>
      </c>
    </row>
    <row r="12" spans="1:40" x14ac:dyDescent="0.2">
      <c r="A12" s="380" t="s">
        <v>462</v>
      </c>
      <c r="B12" s="381"/>
      <c r="C12" s="382"/>
      <c r="D12" s="382"/>
      <c r="E12" s="382"/>
      <c r="F12" s="383"/>
      <c r="G12" s="384">
        <v>5000</v>
      </c>
      <c r="H12" s="384">
        <v>5000</v>
      </c>
      <c r="I12" s="384">
        <v>1355.31</v>
      </c>
      <c r="J12" s="385">
        <v>5000</v>
      </c>
      <c r="K12" s="385">
        <v>960</v>
      </c>
      <c r="L12" s="385">
        <f>960+63</f>
        <v>1023</v>
      </c>
      <c r="M12" s="385">
        <v>790</v>
      </c>
      <c r="N12" s="386">
        <v>960</v>
      </c>
      <c r="O12" s="386">
        <v>1116</v>
      </c>
      <c r="P12" s="386">
        <f>1116</f>
        <v>1116</v>
      </c>
      <c r="Q12" s="386">
        <v>925</v>
      </c>
      <c r="R12" s="386">
        <v>1116</v>
      </c>
      <c r="S12" s="386">
        <v>1956</v>
      </c>
      <c r="T12" s="386">
        <v>1956</v>
      </c>
      <c r="U12" s="386">
        <v>1273</v>
      </c>
      <c r="V12" s="386">
        <v>1956</v>
      </c>
      <c r="W12" s="386">
        <v>786</v>
      </c>
      <c r="X12" s="386">
        <v>786</v>
      </c>
      <c r="Y12" s="386">
        <v>630</v>
      </c>
      <c r="Z12" s="386">
        <v>786</v>
      </c>
      <c r="AA12" s="386">
        <v>932</v>
      </c>
      <c r="AB12" s="386">
        <v>932</v>
      </c>
      <c r="AC12" s="386">
        <v>663</v>
      </c>
      <c r="AD12" s="386">
        <v>932</v>
      </c>
      <c r="AE12" s="386">
        <v>196</v>
      </c>
      <c r="AF12" s="386">
        <v>196</v>
      </c>
      <c r="AG12" s="386">
        <v>63</v>
      </c>
      <c r="AH12" s="386">
        <v>196</v>
      </c>
      <c r="AI12" s="387">
        <f t="shared" si="0"/>
        <v>10946</v>
      </c>
      <c r="AJ12" s="387">
        <f t="shared" si="0"/>
        <v>11009</v>
      </c>
      <c r="AK12" s="387">
        <f t="shared" si="0"/>
        <v>5699.3099999999995</v>
      </c>
      <c r="AL12" s="387">
        <f t="shared" si="1"/>
        <v>10946</v>
      </c>
      <c r="AM12" s="388">
        <f t="shared" si="2"/>
        <v>10946</v>
      </c>
    </row>
    <row r="13" spans="1:40" x14ac:dyDescent="0.2">
      <c r="A13" s="380" t="s">
        <v>463</v>
      </c>
      <c r="B13" s="381"/>
      <c r="C13" s="382"/>
      <c r="D13" s="382"/>
      <c r="E13" s="382"/>
      <c r="F13" s="383"/>
      <c r="G13" s="384">
        <v>0</v>
      </c>
      <c r="H13" s="384">
        <v>0</v>
      </c>
      <c r="I13" s="384"/>
      <c r="J13" s="385">
        <v>0</v>
      </c>
      <c r="K13" s="385">
        <v>0</v>
      </c>
      <c r="L13" s="385">
        <v>0</v>
      </c>
      <c r="M13" s="385"/>
      <c r="N13" s="386">
        <v>0</v>
      </c>
      <c r="O13" s="386">
        <v>0</v>
      </c>
      <c r="P13" s="386">
        <v>0</v>
      </c>
      <c r="Q13" s="386"/>
      <c r="R13" s="386">
        <v>0</v>
      </c>
      <c r="S13" s="386">
        <v>0</v>
      </c>
      <c r="T13" s="386">
        <v>0</v>
      </c>
      <c r="U13" s="386"/>
      <c r="V13" s="386">
        <v>0</v>
      </c>
      <c r="W13" s="386">
        <v>0</v>
      </c>
      <c r="X13" s="386">
        <v>0</v>
      </c>
      <c r="Y13" s="386"/>
      <c r="Z13" s="386">
        <v>0</v>
      </c>
      <c r="AA13" s="386">
        <v>0</v>
      </c>
      <c r="AB13" s="386">
        <v>0</v>
      </c>
      <c r="AC13" s="386"/>
      <c r="AD13" s="386">
        <v>0</v>
      </c>
      <c r="AE13" s="386">
        <v>0</v>
      </c>
      <c r="AF13" s="386">
        <v>0</v>
      </c>
      <c r="AG13" s="386"/>
      <c r="AH13" s="386">
        <v>0</v>
      </c>
      <c r="AI13" s="387">
        <f t="shared" si="0"/>
        <v>0</v>
      </c>
      <c r="AJ13" s="387">
        <f t="shared" si="0"/>
        <v>0</v>
      </c>
      <c r="AK13" s="387">
        <f t="shared" si="0"/>
        <v>0</v>
      </c>
      <c r="AL13" s="387">
        <f t="shared" si="1"/>
        <v>0</v>
      </c>
      <c r="AM13" s="388">
        <f t="shared" si="2"/>
        <v>0</v>
      </c>
    </row>
    <row r="14" spans="1:40" x14ac:dyDescent="0.2">
      <c r="A14" s="380" t="s">
        <v>464</v>
      </c>
      <c r="B14" s="381"/>
      <c r="C14" s="382"/>
      <c r="D14" s="382"/>
      <c r="E14" s="382"/>
      <c r="F14" s="383"/>
      <c r="G14" s="384">
        <v>1500</v>
      </c>
      <c r="H14" s="384">
        <v>1500</v>
      </c>
      <c r="I14" s="384">
        <v>255</v>
      </c>
      <c r="J14" s="385">
        <v>1500</v>
      </c>
      <c r="K14" s="385">
        <v>500</v>
      </c>
      <c r="L14" s="385">
        <v>500</v>
      </c>
      <c r="M14" s="385">
        <v>300.755</v>
      </c>
      <c r="N14" s="386">
        <v>500</v>
      </c>
      <c r="O14" s="386">
        <v>558</v>
      </c>
      <c r="P14" s="386">
        <v>558</v>
      </c>
      <c r="Q14" s="386">
        <v>0</v>
      </c>
      <c r="R14" s="386">
        <v>558</v>
      </c>
      <c r="S14" s="386">
        <v>500</v>
      </c>
      <c r="T14" s="386">
        <v>500</v>
      </c>
      <c r="U14" s="386">
        <v>500</v>
      </c>
      <c r="V14" s="386">
        <v>500</v>
      </c>
      <c r="W14" s="386">
        <v>300</v>
      </c>
      <c r="X14" s="386">
        <v>300</v>
      </c>
      <c r="Y14" s="386">
        <v>300</v>
      </c>
      <c r="Z14" s="386">
        <v>300</v>
      </c>
      <c r="AA14" s="386">
        <v>290</v>
      </c>
      <c r="AB14" s="386">
        <v>290</v>
      </c>
      <c r="AC14" s="386">
        <v>290</v>
      </c>
      <c r="AD14" s="386">
        <v>290</v>
      </c>
      <c r="AE14" s="386">
        <v>0</v>
      </c>
      <c r="AF14" s="386">
        <v>0</v>
      </c>
      <c r="AG14" s="386"/>
      <c r="AH14" s="386">
        <v>0</v>
      </c>
      <c r="AI14" s="387">
        <f t="shared" si="0"/>
        <v>3648</v>
      </c>
      <c r="AJ14" s="387">
        <f t="shared" si="0"/>
        <v>3648</v>
      </c>
      <c r="AK14" s="387">
        <f t="shared" si="0"/>
        <v>1645.7550000000001</v>
      </c>
      <c r="AL14" s="387">
        <f t="shared" si="1"/>
        <v>3648</v>
      </c>
      <c r="AM14" s="388">
        <f t="shared" si="2"/>
        <v>3648</v>
      </c>
    </row>
    <row r="15" spans="1:40" ht="25.5" x14ac:dyDescent="0.2">
      <c r="A15" s="380" t="s">
        <v>1120</v>
      </c>
      <c r="B15" s="381"/>
      <c r="C15" s="382"/>
      <c r="D15" s="382"/>
      <c r="E15" s="382"/>
      <c r="F15" s="383"/>
      <c r="G15" s="384">
        <v>27000</v>
      </c>
      <c r="H15" s="384">
        <v>27000</v>
      </c>
      <c r="I15" s="384">
        <v>25519.023000000001</v>
      </c>
      <c r="J15" s="385">
        <v>27000</v>
      </c>
      <c r="K15" s="385">
        <v>39240</v>
      </c>
      <c r="L15" s="385">
        <v>39240</v>
      </c>
      <c r="M15" s="385">
        <v>34489.089</v>
      </c>
      <c r="N15" s="386">
        <v>39240</v>
      </c>
      <c r="O15" s="386">
        <v>6500</v>
      </c>
      <c r="P15" s="386">
        <v>6500</v>
      </c>
      <c r="Q15" s="386">
        <v>4215.1260000000002</v>
      </c>
      <c r="R15" s="386">
        <v>6500</v>
      </c>
      <c r="S15" s="386">
        <v>0</v>
      </c>
      <c r="T15" s="386">
        <v>10000</v>
      </c>
      <c r="U15" s="386">
        <v>8977.3940000000002</v>
      </c>
      <c r="V15" s="386">
        <v>0</v>
      </c>
      <c r="W15" s="386">
        <v>0</v>
      </c>
      <c r="X15" s="386">
        <v>2500</v>
      </c>
      <c r="Y15" s="386">
        <v>2484.886</v>
      </c>
      <c r="Z15" s="386">
        <v>0</v>
      </c>
      <c r="AA15" s="386">
        <v>0</v>
      </c>
      <c r="AB15" s="386">
        <v>0</v>
      </c>
      <c r="AC15" s="386">
        <v>2882.7379999999998</v>
      </c>
      <c r="AD15" s="386">
        <v>0</v>
      </c>
      <c r="AE15" s="386">
        <v>0</v>
      </c>
      <c r="AF15" s="386">
        <v>200</v>
      </c>
      <c r="AG15" s="386">
        <v>482.07299999999998</v>
      </c>
      <c r="AH15" s="386">
        <v>0</v>
      </c>
      <c r="AI15" s="387">
        <f t="shared" si="0"/>
        <v>72740</v>
      </c>
      <c r="AJ15" s="387">
        <f t="shared" si="0"/>
        <v>85440</v>
      </c>
      <c r="AK15" s="387">
        <f t="shared" si="0"/>
        <v>79050.328999999998</v>
      </c>
      <c r="AL15" s="387">
        <f t="shared" si="1"/>
        <v>72740</v>
      </c>
      <c r="AM15" s="388">
        <f t="shared" si="2"/>
        <v>72740</v>
      </c>
    </row>
    <row r="16" spans="1:40" s="398" customFormat="1" x14ac:dyDescent="0.2">
      <c r="A16" s="391" t="s">
        <v>465</v>
      </c>
      <c r="B16" s="392"/>
      <c r="C16" s="393"/>
      <c r="D16" s="393"/>
      <c r="E16" s="393"/>
      <c r="F16" s="394"/>
      <c r="G16" s="395"/>
      <c r="H16" s="395"/>
      <c r="I16" s="395"/>
      <c r="J16" s="396"/>
      <c r="K16" s="396"/>
      <c r="L16" s="396"/>
      <c r="M16" s="396"/>
      <c r="N16" s="396"/>
      <c r="O16" s="396"/>
      <c r="P16" s="396"/>
      <c r="Q16" s="396"/>
      <c r="R16" s="397"/>
      <c r="S16" s="397"/>
      <c r="T16" s="397"/>
      <c r="U16" s="397"/>
      <c r="V16" s="397"/>
      <c r="W16" s="397"/>
      <c r="X16" s="397"/>
      <c r="Y16" s="397"/>
      <c r="Z16" s="397"/>
      <c r="AA16" s="397"/>
      <c r="AB16" s="397"/>
      <c r="AC16" s="397"/>
      <c r="AD16" s="397"/>
      <c r="AE16" s="397"/>
      <c r="AF16" s="397"/>
      <c r="AG16" s="397"/>
      <c r="AH16" s="397"/>
      <c r="AI16" s="387">
        <f t="shared" si="0"/>
        <v>0</v>
      </c>
      <c r="AJ16" s="387">
        <f t="shared" si="0"/>
        <v>0</v>
      </c>
      <c r="AK16" s="387">
        <f t="shared" si="0"/>
        <v>0</v>
      </c>
      <c r="AL16" s="387">
        <f t="shared" si="1"/>
        <v>0</v>
      </c>
      <c r="AM16" s="388">
        <f t="shared" si="2"/>
        <v>0</v>
      </c>
    </row>
    <row r="17" spans="1:41" s="404" customFormat="1" ht="25.5" x14ac:dyDescent="0.25">
      <c r="A17" s="399" t="s">
        <v>1121</v>
      </c>
      <c r="B17" s="400"/>
      <c r="C17" s="1052">
        <f>SUM(C3:C15)</f>
        <v>0</v>
      </c>
      <c r="D17" s="1052">
        <f>SUM(D3:D15)</f>
        <v>0</v>
      </c>
      <c r="E17" s="401"/>
      <c r="F17" s="402">
        <v>0</v>
      </c>
      <c r="G17" s="403">
        <v>961922.8</v>
      </c>
      <c r="H17" s="1052">
        <f t="shared" ref="H17" si="3">SUM(H3:H15)</f>
        <v>961923</v>
      </c>
      <c r="I17" s="402">
        <v>719560.04300000018</v>
      </c>
      <c r="J17" s="403">
        <v>961922.8</v>
      </c>
      <c r="K17" s="1052">
        <f t="shared" ref="K17:L17" si="4">SUM(K3:K15)</f>
        <v>812500</v>
      </c>
      <c r="L17" s="1052">
        <f t="shared" si="4"/>
        <v>812500</v>
      </c>
      <c r="M17" s="403">
        <v>640041.86300000024</v>
      </c>
      <c r="N17" s="403">
        <v>812500</v>
      </c>
      <c r="O17" s="1052">
        <f t="shared" ref="O17:P17" si="5">SUM(O3:O15)</f>
        <v>521714</v>
      </c>
      <c r="P17" s="1052">
        <f t="shared" si="5"/>
        <v>521714</v>
      </c>
      <c r="Q17" s="403">
        <v>398447.478</v>
      </c>
      <c r="R17" s="403">
        <v>521714</v>
      </c>
      <c r="S17" s="1052">
        <f t="shared" ref="S17:T17" si="6">SUM(S3:S15)</f>
        <v>618265</v>
      </c>
      <c r="T17" s="1052">
        <f t="shared" si="6"/>
        <v>618265</v>
      </c>
      <c r="U17" s="403">
        <v>548453.103</v>
      </c>
      <c r="V17" s="403">
        <v>618265</v>
      </c>
      <c r="W17" s="403">
        <v>334190.5</v>
      </c>
      <c r="X17" s="1052">
        <f t="shared" ref="X17" si="7">SUM(X3:X15)</f>
        <v>334191</v>
      </c>
      <c r="Y17" s="403">
        <v>268256.97500000003</v>
      </c>
      <c r="Z17" s="403">
        <v>334190.5</v>
      </c>
      <c r="AA17" s="1052">
        <f t="shared" ref="AA17:AB17" si="8">SUM(AA3:AA15)</f>
        <v>323864</v>
      </c>
      <c r="AB17" s="1052">
        <f t="shared" si="8"/>
        <v>323864</v>
      </c>
      <c r="AC17" s="403">
        <v>284295.27</v>
      </c>
      <c r="AD17" s="403">
        <v>323864</v>
      </c>
      <c r="AE17" s="1052">
        <f t="shared" ref="AE17:AF17" si="9">SUM(AE3:AE15)</f>
        <v>41439</v>
      </c>
      <c r="AF17" s="1052">
        <f t="shared" si="9"/>
        <v>41439</v>
      </c>
      <c r="AG17" s="403">
        <v>26439.066000000003</v>
      </c>
      <c r="AH17" s="403">
        <v>41439</v>
      </c>
      <c r="AI17" s="409">
        <v>3613895</v>
      </c>
      <c r="AJ17" s="409">
        <f t="shared" si="0"/>
        <v>3613896</v>
      </c>
      <c r="AK17" s="387">
        <f t="shared" si="0"/>
        <v>2885493.7980000009</v>
      </c>
      <c r="AL17" s="387">
        <f>F17+J17+N17+R17+V17+Z17+AD17+AH17</f>
        <v>3613895.3</v>
      </c>
      <c r="AM17" s="388">
        <f>J17+N17+R17+V17+Z17+AD17+AH17</f>
        <v>3613895.3</v>
      </c>
    </row>
    <row r="18" spans="1:41" ht="25.5" x14ac:dyDescent="0.2">
      <c r="A18" s="380" t="s">
        <v>466</v>
      </c>
      <c r="B18" s="381"/>
      <c r="C18" s="382">
        <v>147263</v>
      </c>
      <c r="D18" s="382">
        <v>147263</v>
      </c>
      <c r="E18" s="382">
        <v>97678.774999999994</v>
      </c>
      <c r="F18" s="383">
        <v>147263</v>
      </c>
      <c r="G18" s="384"/>
      <c r="H18" s="384"/>
      <c r="I18" s="384"/>
      <c r="J18" s="405">
        <v>0</v>
      </c>
      <c r="K18" s="405"/>
      <c r="L18" s="405"/>
      <c r="M18" s="405"/>
      <c r="N18" s="296">
        <v>0</v>
      </c>
      <c r="O18" s="296"/>
      <c r="P18" s="296"/>
      <c r="Q18" s="29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  <c r="AC18" s="386"/>
      <c r="AD18" s="386"/>
      <c r="AE18" s="386"/>
      <c r="AF18" s="386"/>
      <c r="AG18" s="386"/>
      <c r="AH18" s="386"/>
      <c r="AI18" s="387">
        <f t="shared" si="0"/>
        <v>147263</v>
      </c>
      <c r="AJ18" s="387">
        <f t="shared" si="0"/>
        <v>147263</v>
      </c>
      <c r="AK18" s="387">
        <f t="shared" si="0"/>
        <v>97678.774999999994</v>
      </c>
      <c r="AL18" s="387">
        <f t="shared" ref="AL18:AL20" si="10">F18+J18+N18+R18+V18+Z18+AD18+AH18</f>
        <v>147263</v>
      </c>
      <c r="AM18" s="388">
        <f t="shared" ref="AM18:AM20" si="11">J18+N18+R18+V18+Z18+AD18+AH18</f>
        <v>0</v>
      </c>
    </row>
    <row r="19" spans="1:41" ht="51" x14ac:dyDescent="0.2">
      <c r="A19" s="380" t="s">
        <v>467</v>
      </c>
      <c r="B19" s="381"/>
      <c r="C19" s="382">
        <v>26550</v>
      </c>
      <c r="D19" s="382">
        <v>26550</v>
      </c>
      <c r="E19" s="382">
        <v>29615.084999999999</v>
      </c>
      <c r="F19" s="383">
        <v>26550</v>
      </c>
      <c r="G19" s="384">
        <v>19100</v>
      </c>
      <c r="H19" s="384">
        <v>19100</v>
      </c>
      <c r="I19" s="384">
        <v>21276.199000000001</v>
      </c>
      <c r="J19" s="385">
        <v>19100</v>
      </c>
      <c r="K19" s="385"/>
      <c r="L19" s="385"/>
      <c r="M19" s="385">
        <v>3618</v>
      </c>
      <c r="N19" s="296">
        <v>0</v>
      </c>
      <c r="O19" s="296">
        <v>23950</v>
      </c>
      <c r="P19" s="296">
        <v>23950</v>
      </c>
      <c r="Q19" s="296">
        <v>19881.155999999999</v>
      </c>
      <c r="R19" s="386">
        <v>23950</v>
      </c>
      <c r="S19" s="386">
        <v>3600</v>
      </c>
      <c r="T19" s="386">
        <v>3600</v>
      </c>
      <c r="U19" s="386">
        <v>3456.127</v>
      </c>
      <c r="V19" s="386">
        <v>3600</v>
      </c>
      <c r="W19" s="386">
        <v>3384</v>
      </c>
      <c r="X19" s="386">
        <v>3384</v>
      </c>
      <c r="Y19" s="386">
        <v>1440.5</v>
      </c>
      <c r="Z19" s="386">
        <v>3384</v>
      </c>
      <c r="AA19" s="386">
        <v>4675</v>
      </c>
      <c r="AB19" s="386">
        <v>4675</v>
      </c>
      <c r="AC19" s="386">
        <v>2929.92</v>
      </c>
      <c r="AD19" s="386">
        <v>4675</v>
      </c>
      <c r="AE19" s="386">
        <v>3200</v>
      </c>
      <c r="AF19" s="386">
        <v>3200</v>
      </c>
      <c r="AG19" s="386">
        <v>972.91200000000003</v>
      </c>
      <c r="AH19" s="386">
        <v>3200</v>
      </c>
      <c r="AI19" s="387">
        <f t="shared" ref="AI19:AI23" si="12">C19+G19+K19+O19+S19+W19+AA19+AE19</f>
        <v>84459</v>
      </c>
      <c r="AJ19" s="387">
        <f t="shared" ref="AJ19:AJ24" si="13">D19+H19+L19+P19+T19+X19+AB19+AF19</f>
        <v>84459</v>
      </c>
      <c r="AK19" s="387">
        <f t="shared" ref="AK19:AK23" si="14">E19+I19+M19+Q19+U19+Y19+AC19+AG19</f>
        <v>83189.89899999999</v>
      </c>
      <c r="AL19" s="387">
        <f t="shared" si="10"/>
        <v>84459</v>
      </c>
      <c r="AM19" s="388">
        <f t="shared" si="11"/>
        <v>57909</v>
      </c>
    </row>
    <row r="20" spans="1:41" x14ac:dyDescent="0.2">
      <c r="A20" s="380" t="s">
        <v>468</v>
      </c>
      <c r="B20" s="381"/>
      <c r="C20" s="382">
        <v>31566</v>
      </c>
      <c r="D20" s="382">
        <v>31566</v>
      </c>
      <c r="E20" s="382">
        <v>38779.351000000002</v>
      </c>
      <c r="F20" s="383">
        <v>31566</v>
      </c>
      <c r="G20" s="384">
        <v>5100</v>
      </c>
      <c r="H20" s="384">
        <v>5100</v>
      </c>
      <c r="I20" s="384">
        <v>2318.864</v>
      </c>
      <c r="J20" s="385">
        <v>5100</v>
      </c>
      <c r="K20" s="385">
        <v>500</v>
      </c>
      <c r="L20" s="385">
        <v>500</v>
      </c>
      <c r="M20" s="385">
        <v>66.855000000000004</v>
      </c>
      <c r="N20" s="296">
        <v>500</v>
      </c>
      <c r="O20" s="296">
        <v>2140</v>
      </c>
      <c r="P20" s="296">
        <v>2140</v>
      </c>
      <c r="Q20" s="296">
        <v>3307.9180000000001</v>
      </c>
      <c r="R20" s="386">
        <v>2140</v>
      </c>
      <c r="S20" s="386">
        <v>3000</v>
      </c>
      <c r="T20" s="386">
        <v>3000</v>
      </c>
      <c r="U20" s="386">
        <v>1478.8</v>
      </c>
      <c r="V20" s="386">
        <v>3000</v>
      </c>
      <c r="W20" s="386">
        <v>1000</v>
      </c>
      <c r="X20" s="386">
        <v>1000</v>
      </c>
      <c r="Y20" s="386">
        <v>344.52800000000002</v>
      </c>
      <c r="Z20" s="386">
        <v>1000</v>
      </c>
      <c r="AA20" s="386">
        <v>2038</v>
      </c>
      <c r="AB20" s="386">
        <v>2038</v>
      </c>
      <c r="AC20" s="386">
        <v>440.78699999999998</v>
      </c>
      <c r="AD20" s="386">
        <v>2038</v>
      </c>
      <c r="AE20" s="386">
        <v>600</v>
      </c>
      <c r="AF20" s="386">
        <v>600</v>
      </c>
      <c r="AG20" s="386">
        <v>113.44499999999999</v>
      </c>
      <c r="AH20" s="386">
        <v>600</v>
      </c>
      <c r="AI20" s="387">
        <f t="shared" si="12"/>
        <v>45944</v>
      </c>
      <c r="AJ20" s="387">
        <f t="shared" si="13"/>
        <v>45944</v>
      </c>
      <c r="AK20" s="387">
        <f t="shared" si="14"/>
        <v>46850.548000000003</v>
      </c>
      <c r="AL20" s="387">
        <f t="shared" si="10"/>
        <v>45944</v>
      </c>
      <c r="AM20" s="388">
        <f t="shared" si="11"/>
        <v>14378</v>
      </c>
    </row>
    <row r="21" spans="1:41" s="404" customFormat="1" ht="13.5" x14ac:dyDescent="0.25">
      <c r="A21" s="399" t="s">
        <v>1122</v>
      </c>
      <c r="B21" s="400"/>
      <c r="C21" s="1053">
        <f>+C18+C19+C20</f>
        <v>205379</v>
      </c>
      <c r="D21" s="1053">
        <f>+D18+D19+D20</f>
        <v>205379</v>
      </c>
      <c r="E21" s="406">
        <v>166073.21099999998</v>
      </c>
      <c r="F21" s="407">
        <v>205379</v>
      </c>
      <c r="G21" s="1053">
        <f t="shared" ref="G21:H21" si="15">+G18+G19+G20</f>
        <v>24200</v>
      </c>
      <c r="H21" s="1053">
        <f t="shared" si="15"/>
        <v>24200</v>
      </c>
      <c r="I21" s="407">
        <v>23595.063000000002</v>
      </c>
      <c r="J21" s="408">
        <v>24200</v>
      </c>
      <c r="K21" s="1053">
        <f t="shared" ref="K21:L21" si="16">+K18+K19+K20</f>
        <v>500</v>
      </c>
      <c r="L21" s="1053">
        <f t="shared" si="16"/>
        <v>500</v>
      </c>
      <c r="M21" s="408">
        <v>3684.855</v>
      </c>
      <c r="N21" s="408">
        <v>500</v>
      </c>
      <c r="O21" s="1053">
        <f t="shared" ref="O21:P21" si="17">+O18+O19+O20</f>
        <v>26090</v>
      </c>
      <c r="P21" s="1053">
        <f t="shared" si="17"/>
        <v>26090</v>
      </c>
      <c r="Q21" s="408">
        <v>23189.074000000001</v>
      </c>
      <c r="R21" s="408">
        <v>26090</v>
      </c>
      <c r="S21" s="1053">
        <f t="shared" ref="S21:T21" si="18">+S18+S19+S20</f>
        <v>6600</v>
      </c>
      <c r="T21" s="1053">
        <f t="shared" si="18"/>
        <v>6600</v>
      </c>
      <c r="U21" s="408">
        <v>4934.9269999999997</v>
      </c>
      <c r="V21" s="408">
        <v>6600</v>
      </c>
      <c r="W21" s="1053">
        <f t="shared" ref="W21:X21" si="19">+W18+W19+W20</f>
        <v>4384</v>
      </c>
      <c r="X21" s="1053">
        <f t="shared" si="19"/>
        <v>4384</v>
      </c>
      <c r="Y21" s="408">
        <v>1785.028</v>
      </c>
      <c r="Z21" s="408">
        <v>4384</v>
      </c>
      <c r="AA21" s="1053">
        <f t="shared" ref="AA21:AB21" si="20">+AA18+AA19+AA20</f>
        <v>6713</v>
      </c>
      <c r="AB21" s="1053">
        <f t="shared" si="20"/>
        <v>6713</v>
      </c>
      <c r="AC21" s="408">
        <v>3370.7069999999999</v>
      </c>
      <c r="AD21" s="408">
        <v>6713</v>
      </c>
      <c r="AE21" s="1053">
        <f t="shared" ref="AE21:AF21" si="21">+AE18+AE19+AE20</f>
        <v>3800</v>
      </c>
      <c r="AF21" s="1053">
        <f t="shared" si="21"/>
        <v>3800</v>
      </c>
      <c r="AG21" s="408">
        <v>1086.357</v>
      </c>
      <c r="AH21" s="408">
        <v>3800</v>
      </c>
      <c r="AI21" s="387">
        <f t="shared" ref="AI21:AJ21" si="22">+AI18+AI19+AI20</f>
        <v>277666</v>
      </c>
      <c r="AJ21" s="387">
        <f t="shared" si="22"/>
        <v>277666</v>
      </c>
      <c r="AK21" s="387">
        <f t="shared" si="14"/>
        <v>227719.22199999995</v>
      </c>
      <c r="AL21" s="387">
        <f>F21+J21+N21+R21+V21+Z21+AD21+AH21</f>
        <v>277666</v>
      </c>
      <c r="AM21" s="388">
        <f>J21+N21+R21+V21+Z21+AD21+AH21</f>
        <v>72287</v>
      </c>
    </row>
    <row r="22" spans="1:41" s="404" customFormat="1" ht="27" customHeight="1" x14ac:dyDescent="0.25">
      <c r="A22" s="399" t="s">
        <v>1123</v>
      </c>
      <c r="B22" s="400" t="s">
        <v>98</v>
      </c>
      <c r="C22" s="406">
        <f>+C17+C21</f>
        <v>205379</v>
      </c>
      <c r="D22" s="406">
        <f>+D17+D21</f>
        <v>205379</v>
      </c>
      <c r="E22" s="406">
        <v>166073.21099999998</v>
      </c>
      <c r="F22" s="407">
        <v>205379</v>
      </c>
      <c r="G22" s="406">
        <f t="shared" ref="G22:H22" si="23">+G17+G21</f>
        <v>986122.8</v>
      </c>
      <c r="H22" s="406">
        <f t="shared" si="23"/>
        <v>986123</v>
      </c>
      <c r="I22" s="407">
        <v>743155.10600000015</v>
      </c>
      <c r="J22" s="408">
        <v>986122.8</v>
      </c>
      <c r="K22" s="406">
        <f t="shared" ref="K22:L22" si="24">+K17+K21</f>
        <v>813000</v>
      </c>
      <c r="L22" s="406">
        <f t="shared" si="24"/>
        <v>813000</v>
      </c>
      <c r="M22" s="408">
        <v>643726.71800000023</v>
      </c>
      <c r="N22" s="408">
        <v>813000</v>
      </c>
      <c r="O22" s="406">
        <f t="shared" ref="O22:P22" si="25">+O17+O21</f>
        <v>547804</v>
      </c>
      <c r="P22" s="406">
        <f t="shared" si="25"/>
        <v>547804</v>
      </c>
      <c r="Q22" s="408">
        <v>421636.55200000003</v>
      </c>
      <c r="R22" s="408">
        <v>547804</v>
      </c>
      <c r="S22" s="406">
        <f t="shared" ref="S22:T22" si="26">+S17+S21</f>
        <v>624865</v>
      </c>
      <c r="T22" s="406">
        <f t="shared" si="26"/>
        <v>624865</v>
      </c>
      <c r="U22" s="408">
        <v>553388.03</v>
      </c>
      <c r="V22" s="408">
        <v>624865</v>
      </c>
      <c r="W22" s="406">
        <f t="shared" ref="W22:X22" si="27">+W17+W21</f>
        <v>338574.5</v>
      </c>
      <c r="X22" s="406">
        <f t="shared" si="27"/>
        <v>338575</v>
      </c>
      <c r="Y22" s="408">
        <v>270042.00300000003</v>
      </c>
      <c r="Z22" s="408">
        <v>338574.5</v>
      </c>
      <c r="AA22" s="406">
        <f t="shared" ref="AA22:AB22" si="28">+AA17+AA21</f>
        <v>330577</v>
      </c>
      <c r="AB22" s="406">
        <f t="shared" si="28"/>
        <v>330577</v>
      </c>
      <c r="AC22" s="408">
        <v>287665.97700000001</v>
      </c>
      <c r="AD22" s="408">
        <v>330577</v>
      </c>
      <c r="AE22" s="406">
        <f t="shared" ref="AE22:AF22" si="29">+AE17+AE21</f>
        <v>45239</v>
      </c>
      <c r="AF22" s="406">
        <f t="shared" si="29"/>
        <v>45239</v>
      </c>
      <c r="AG22" s="408">
        <v>27525.423000000003</v>
      </c>
      <c r="AH22" s="408">
        <v>45239</v>
      </c>
      <c r="AI22" s="409">
        <v>3891562</v>
      </c>
      <c r="AJ22" s="409">
        <f t="shared" si="13"/>
        <v>3891562</v>
      </c>
      <c r="AK22" s="409">
        <f t="shared" si="14"/>
        <v>3113213.0200000005</v>
      </c>
      <c r="AL22" s="409">
        <f>F22+J22+N22+R22+V22+Z22+AD22+AH22+1</f>
        <v>3891562.3</v>
      </c>
      <c r="AM22" s="388">
        <f>J22+N22+R22+V22+Z22+AD22+AH22</f>
        <v>3686182.3</v>
      </c>
      <c r="AN22" s="400"/>
      <c r="AO22" s="400"/>
    </row>
    <row r="23" spans="1:41" s="404" customFormat="1" ht="25.5" x14ac:dyDescent="0.25">
      <c r="A23" s="399" t="s">
        <v>1124</v>
      </c>
      <c r="B23" s="400" t="s">
        <v>100</v>
      </c>
      <c r="C23" s="401">
        <f>SUM(C24:C29)</f>
        <v>30710</v>
      </c>
      <c r="D23" s="401">
        <f>SUM(D24:D29)</f>
        <v>30710</v>
      </c>
      <c r="E23" s="410">
        <v>18136.227999999999</v>
      </c>
      <c r="F23" s="407">
        <v>30709.919999999998</v>
      </c>
      <c r="G23" s="401">
        <f t="shared" ref="G23:H23" si="30">SUM(G24:G29)</f>
        <v>142632</v>
      </c>
      <c r="H23" s="401">
        <f t="shared" si="30"/>
        <v>142632</v>
      </c>
      <c r="I23" s="410">
        <v>113182.005</v>
      </c>
      <c r="J23" s="408">
        <v>142631.6</v>
      </c>
      <c r="K23" s="401">
        <f t="shared" ref="K23:L23" si="31">SUM(K24:K29)</f>
        <v>113000</v>
      </c>
      <c r="L23" s="401">
        <f t="shared" si="31"/>
        <v>113000</v>
      </c>
      <c r="M23" s="408">
        <v>88505.362999999998</v>
      </c>
      <c r="N23" s="408">
        <v>113000</v>
      </c>
      <c r="O23" s="401">
        <f t="shared" ref="O23:P23" si="32">SUM(O24:O29)</f>
        <v>78804</v>
      </c>
      <c r="P23" s="401">
        <f t="shared" si="32"/>
        <v>78804</v>
      </c>
      <c r="Q23" s="408">
        <v>70593.391999999993</v>
      </c>
      <c r="R23" s="408">
        <v>78804</v>
      </c>
      <c r="S23" s="401">
        <f t="shared" ref="S23:T23" si="33">SUM(S24:S29)</f>
        <v>92927</v>
      </c>
      <c r="T23" s="401">
        <f t="shared" si="33"/>
        <v>92927</v>
      </c>
      <c r="U23" s="408">
        <v>94522.974000000002</v>
      </c>
      <c r="V23" s="408">
        <v>92927</v>
      </c>
      <c r="W23" s="401">
        <f t="shared" ref="W23:X23" si="34">SUM(W24:W29)</f>
        <v>49500</v>
      </c>
      <c r="X23" s="401">
        <f t="shared" si="34"/>
        <v>49500</v>
      </c>
      <c r="Y23" s="408">
        <v>45854.999000000003</v>
      </c>
      <c r="Z23" s="408">
        <v>49500</v>
      </c>
      <c r="AA23" s="401">
        <f t="shared" ref="AA23" si="35">SUM(AA24:AA29)</f>
        <v>50466</v>
      </c>
      <c r="AB23" s="401">
        <f>SUM(AB24:AB29)</f>
        <v>50466</v>
      </c>
      <c r="AC23" s="408">
        <v>49362.601000000002</v>
      </c>
      <c r="AD23" s="408">
        <v>50466</v>
      </c>
      <c r="AE23" s="401">
        <f t="shared" ref="AE23:AF23" si="36">SUM(AE24:AE29)</f>
        <v>6206</v>
      </c>
      <c r="AF23" s="401">
        <f t="shared" si="36"/>
        <v>6206</v>
      </c>
      <c r="AG23" s="408">
        <v>4373.4189999999999</v>
      </c>
      <c r="AH23" s="408">
        <v>6206</v>
      </c>
      <c r="AI23" s="409">
        <f t="shared" si="12"/>
        <v>564245</v>
      </c>
      <c r="AJ23" s="409">
        <f t="shared" si="13"/>
        <v>564245</v>
      </c>
      <c r="AK23" s="409">
        <f t="shared" si="14"/>
        <v>484530.98100000003</v>
      </c>
      <c r="AL23" s="409">
        <f>F23+J23+N23+R23+V23+Z23+AD23+AH23</f>
        <v>564244.52</v>
      </c>
      <c r="AM23" s="388">
        <f>J23+N23+R23+V23+Z23+AD23+AH23</f>
        <v>533534.6</v>
      </c>
      <c r="AN23" s="400"/>
      <c r="AO23" s="400"/>
    </row>
    <row r="24" spans="1:41" s="413" customFormat="1" ht="25.5" x14ac:dyDescent="0.2">
      <c r="A24" s="391" t="s">
        <v>469</v>
      </c>
      <c r="B24" s="411"/>
      <c r="C24" s="393">
        <v>30264</v>
      </c>
      <c r="D24" s="393">
        <v>30264</v>
      </c>
      <c r="E24" s="393">
        <v>17828.227999999999</v>
      </c>
      <c r="F24" s="418">
        <v>30263.919999999998</v>
      </c>
      <c r="G24" s="384">
        <v>128606</v>
      </c>
      <c r="H24" s="384">
        <v>128606</v>
      </c>
      <c r="I24" s="384">
        <v>111511.686</v>
      </c>
      <c r="J24" s="412">
        <v>128606</v>
      </c>
      <c r="K24" s="412">
        <v>104800</v>
      </c>
      <c r="L24" s="412">
        <v>104800</v>
      </c>
      <c r="M24" s="412">
        <v>81775.823000000004</v>
      </c>
      <c r="N24" s="412">
        <v>104800</v>
      </c>
      <c r="O24" s="412">
        <v>67604</v>
      </c>
      <c r="P24" s="412">
        <v>67604</v>
      </c>
      <c r="Q24" s="412">
        <v>59812.771999999997</v>
      </c>
      <c r="R24" s="412">
        <v>67604</v>
      </c>
      <c r="S24" s="412">
        <v>80843</v>
      </c>
      <c r="T24" s="412">
        <v>80843</v>
      </c>
      <c r="U24" s="412">
        <v>80911.926000000007</v>
      </c>
      <c r="V24" s="412">
        <v>80843</v>
      </c>
      <c r="W24" s="412">
        <v>43889</v>
      </c>
      <c r="X24" s="412">
        <v>43889</v>
      </c>
      <c r="Y24" s="412">
        <v>39675.828000000001</v>
      </c>
      <c r="Z24" s="412">
        <v>43889</v>
      </c>
      <c r="AA24" s="412">
        <v>42800</v>
      </c>
      <c r="AB24" s="412">
        <v>42800</v>
      </c>
      <c r="AC24" s="412">
        <v>42240.58</v>
      </c>
      <c r="AD24" s="412">
        <v>42800</v>
      </c>
      <c r="AE24" s="412">
        <v>5803</v>
      </c>
      <c r="AF24" s="412">
        <v>5803</v>
      </c>
      <c r="AG24" s="412">
        <v>3872.1840000000002</v>
      </c>
      <c r="AH24" s="412">
        <v>5803</v>
      </c>
      <c r="AI24" s="387">
        <v>338575</v>
      </c>
      <c r="AJ24" s="387">
        <f t="shared" si="13"/>
        <v>504609</v>
      </c>
      <c r="AK24" s="387">
        <v>338575</v>
      </c>
      <c r="AL24" s="387">
        <v>338575</v>
      </c>
      <c r="AM24" s="388">
        <f t="shared" ref="AM24:AM32" si="37">J24+N24+R24+V24+Z24+AD24+AH24</f>
        <v>474345</v>
      </c>
    </row>
    <row r="25" spans="1:41" s="413" customFormat="1" ht="25.5" x14ac:dyDescent="0.2">
      <c r="A25" s="391" t="s">
        <v>470</v>
      </c>
      <c r="B25" s="411"/>
      <c r="C25" s="393">
        <v>446</v>
      </c>
      <c r="D25" s="393">
        <v>446</v>
      </c>
      <c r="E25" s="393">
        <v>226</v>
      </c>
      <c r="F25" s="418">
        <v>446</v>
      </c>
      <c r="G25" s="414">
        <v>9346</v>
      </c>
      <c r="H25" s="414">
        <v>9346</v>
      </c>
      <c r="I25" s="414">
        <v>1087</v>
      </c>
      <c r="J25" s="412">
        <v>9346</v>
      </c>
      <c r="K25" s="412">
        <v>5000</v>
      </c>
      <c r="L25" s="412">
        <v>5000</v>
      </c>
      <c r="M25" s="412">
        <v>4347</v>
      </c>
      <c r="N25" s="412">
        <v>5000</v>
      </c>
      <c r="O25" s="412">
        <v>7200</v>
      </c>
      <c r="P25" s="412">
        <v>7200</v>
      </c>
      <c r="Q25" s="412">
        <v>6452</v>
      </c>
      <c r="R25" s="412">
        <v>7200</v>
      </c>
      <c r="S25" s="412">
        <v>10170</v>
      </c>
      <c r="T25" s="412">
        <v>10170</v>
      </c>
      <c r="U25" s="412">
        <v>7908</v>
      </c>
      <c r="V25" s="412">
        <v>10170</v>
      </c>
      <c r="W25" s="412">
        <v>4770</v>
      </c>
      <c r="X25" s="412">
        <v>4770</v>
      </c>
      <c r="Y25" s="412">
        <v>3851</v>
      </c>
      <c r="Z25" s="412">
        <v>4770</v>
      </c>
      <c r="AA25" s="412">
        <v>5130</v>
      </c>
      <c r="AB25" s="412">
        <v>5130</v>
      </c>
      <c r="AC25" s="412">
        <v>4272</v>
      </c>
      <c r="AD25" s="412">
        <v>5130</v>
      </c>
      <c r="AE25" s="412"/>
      <c r="AF25" s="412"/>
      <c r="AG25" s="412">
        <v>271.67399999999998</v>
      </c>
      <c r="AH25" s="415"/>
      <c r="AI25" s="387">
        <f t="shared" ref="AI25:AI86" si="38">C25+G25+K25+O25+S25+W25+AA25+AE25</f>
        <v>42062</v>
      </c>
      <c r="AJ25" s="387">
        <f t="shared" ref="AJ25:AJ86" si="39">D25+H25+L25+P25+T25+X25+AB25+AF25</f>
        <v>42062</v>
      </c>
      <c r="AK25" s="387">
        <f t="shared" ref="AK25:AK86" si="40">E25+I25+M25+Q25+U25+Y25+AC25+AG25</f>
        <v>28414.673999999999</v>
      </c>
      <c r="AL25" s="387">
        <f t="shared" ref="AL25:AL32" si="41">F25+J25+N25+R25+V25+Z25+AD25+AH25</f>
        <v>42062</v>
      </c>
      <c r="AM25" s="388">
        <f t="shared" si="37"/>
        <v>41616</v>
      </c>
    </row>
    <row r="26" spans="1:41" s="419" customFormat="1" x14ac:dyDescent="0.2">
      <c r="A26" s="391" t="s">
        <v>471</v>
      </c>
      <c r="B26" s="416"/>
      <c r="C26" s="417"/>
      <c r="D26" s="417"/>
      <c r="E26" s="417"/>
      <c r="F26" s="418"/>
      <c r="G26" s="414"/>
      <c r="H26" s="414"/>
      <c r="I26" s="414"/>
      <c r="J26" s="412"/>
      <c r="K26" s="412"/>
      <c r="L26" s="412"/>
      <c r="M26" s="412"/>
      <c r="N26" s="412"/>
      <c r="O26" s="412"/>
      <c r="P26" s="412"/>
      <c r="Q26" s="412"/>
      <c r="R26" s="415"/>
      <c r="S26" s="415"/>
      <c r="T26" s="415"/>
      <c r="U26" s="415"/>
      <c r="V26" s="415"/>
      <c r="W26" s="415"/>
      <c r="X26" s="415"/>
      <c r="Y26" s="415"/>
      <c r="Z26" s="415"/>
      <c r="AA26" s="415"/>
      <c r="AB26" s="415"/>
      <c r="AC26" s="415"/>
      <c r="AD26" s="415"/>
      <c r="AE26" s="415"/>
      <c r="AF26" s="415"/>
      <c r="AG26" s="415"/>
      <c r="AH26" s="415"/>
      <c r="AI26" s="387">
        <f t="shared" si="38"/>
        <v>0</v>
      </c>
      <c r="AJ26" s="387">
        <f t="shared" si="39"/>
        <v>0</v>
      </c>
      <c r="AK26" s="387">
        <f t="shared" si="40"/>
        <v>0</v>
      </c>
      <c r="AL26" s="387">
        <f t="shared" si="41"/>
        <v>0</v>
      </c>
      <c r="AM26" s="388">
        <f t="shared" si="37"/>
        <v>0</v>
      </c>
    </row>
    <row r="27" spans="1:41" s="413" customFormat="1" x14ac:dyDescent="0.2">
      <c r="A27" s="391" t="s">
        <v>472</v>
      </c>
      <c r="B27" s="411"/>
      <c r="C27" s="393"/>
      <c r="D27" s="393"/>
      <c r="E27" s="393"/>
      <c r="F27" s="418"/>
      <c r="G27" s="414">
        <v>500</v>
      </c>
      <c r="H27" s="414">
        <v>500</v>
      </c>
      <c r="I27" s="414">
        <v>311.29599999999999</v>
      </c>
      <c r="J27" s="412">
        <v>500</v>
      </c>
      <c r="K27" s="412">
        <v>1000</v>
      </c>
      <c r="L27" s="412">
        <v>1000</v>
      </c>
      <c r="M27" s="412">
        <v>506.572</v>
      </c>
      <c r="N27" s="412">
        <v>1000</v>
      </c>
      <c r="O27" s="412"/>
      <c r="P27" s="412"/>
      <c r="Q27" s="412">
        <v>612.697</v>
      </c>
      <c r="R27" s="415"/>
      <c r="S27" s="415"/>
      <c r="T27" s="415"/>
      <c r="U27" s="415">
        <v>1279.1120000000001</v>
      </c>
      <c r="V27" s="415"/>
      <c r="W27" s="415"/>
      <c r="X27" s="415"/>
      <c r="Y27" s="415">
        <v>252.624</v>
      </c>
      <c r="Z27" s="415"/>
      <c r="AA27" s="415"/>
      <c r="AB27" s="415"/>
      <c r="AC27" s="415">
        <v>678.87400000000002</v>
      </c>
      <c r="AD27" s="415"/>
      <c r="AE27" s="415"/>
      <c r="AF27" s="415"/>
      <c r="AG27" s="415">
        <v>229.56100000000001</v>
      </c>
      <c r="AH27" s="415"/>
      <c r="AI27" s="387">
        <f t="shared" si="38"/>
        <v>1500</v>
      </c>
      <c r="AJ27" s="387">
        <f t="shared" si="39"/>
        <v>1500</v>
      </c>
      <c r="AK27" s="387">
        <f t="shared" si="40"/>
        <v>3870.7360000000003</v>
      </c>
      <c r="AL27" s="387">
        <f t="shared" si="41"/>
        <v>1500</v>
      </c>
      <c r="AM27" s="388">
        <f t="shared" si="37"/>
        <v>1500</v>
      </c>
    </row>
    <row r="28" spans="1:41" s="420" customFormat="1" ht="51" x14ac:dyDescent="0.25">
      <c r="A28" s="391" t="s">
        <v>473</v>
      </c>
      <c r="B28" s="411"/>
      <c r="C28" s="393"/>
      <c r="D28" s="393"/>
      <c r="E28" s="393"/>
      <c r="F28" s="383"/>
      <c r="G28" s="414">
        <v>4180</v>
      </c>
      <c r="H28" s="414">
        <v>4180</v>
      </c>
      <c r="I28" s="414"/>
      <c r="J28" s="412">
        <v>4179.6000000000004</v>
      </c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2"/>
      <c r="AC28" s="412"/>
      <c r="AD28" s="412"/>
      <c r="AE28" s="412"/>
      <c r="AF28" s="412"/>
      <c r="AG28" s="412"/>
      <c r="AH28" s="412"/>
      <c r="AI28" s="387">
        <f t="shared" si="38"/>
        <v>4180</v>
      </c>
      <c r="AJ28" s="387">
        <f t="shared" si="39"/>
        <v>4180</v>
      </c>
      <c r="AK28" s="387">
        <f t="shared" si="40"/>
        <v>0</v>
      </c>
      <c r="AL28" s="387">
        <f t="shared" si="41"/>
        <v>4179.6000000000004</v>
      </c>
      <c r="AM28" s="388">
        <f t="shared" si="37"/>
        <v>4179.6000000000004</v>
      </c>
    </row>
    <row r="29" spans="1:41" s="420" customFormat="1" ht="25.5" x14ac:dyDescent="0.25">
      <c r="A29" s="391" t="s">
        <v>474</v>
      </c>
      <c r="B29" s="411"/>
      <c r="C29" s="393"/>
      <c r="D29" s="393"/>
      <c r="E29" s="393">
        <v>82</v>
      </c>
      <c r="F29" s="418"/>
      <c r="G29" s="414"/>
      <c r="H29" s="414"/>
      <c r="I29" s="414">
        <v>272.02300000000002</v>
      </c>
      <c r="J29" s="421"/>
      <c r="K29" s="421">
        <v>2200</v>
      </c>
      <c r="L29" s="421">
        <v>2200</v>
      </c>
      <c r="M29" s="421">
        <v>1875.9680000000001</v>
      </c>
      <c r="N29" s="412">
        <v>2200</v>
      </c>
      <c r="O29" s="412">
        <v>4000</v>
      </c>
      <c r="P29" s="412">
        <v>4000</v>
      </c>
      <c r="Q29" s="412">
        <v>3715.9229999999998</v>
      </c>
      <c r="R29" s="412">
        <v>4000</v>
      </c>
      <c r="S29" s="412">
        <v>1914</v>
      </c>
      <c r="T29" s="412">
        <v>1914</v>
      </c>
      <c r="U29" s="412">
        <v>4423.9359999999997</v>
      </c>
      <c r="V29" s="412">
        <v>1914</v>
      </c>
      <c r="W29" s="412">
        <v>841</v>
      </c>
      <c r="X29" s="412">
        <v>841</v>
      </c>
      <c r="Y29" s="412">
        <v>2075.547</v>
      </c>
      <c r="Z29" s="412">
        <v>841</v>
      </c>
      <c r="AA29" s="412">
        <v>2536</v>
      </c>
      <c r="AB29" s="412">
        <v>2536</v>
      </c>
      <c r="AC29" s="412">
        <v>2171.1469999999999</v>
      </c>
      <c r="AD29" s="412">
        <v>2536</v>
      </c>
      <c r="AE29" s="412">
        <v>403</v>
      </c>
      <c r="AF29" s="412">
        <v>403</v>
      </c>
      <c r="AG29" s="412"/>
      <c r="AH29" s="412">
        <v>403</v>
      </c>
      <c r="AI29" s="387">
        <f t="shared" si="38"/>
        <v>11894</v>
      </c>
      <c r="AJ29" s="387">
        <f t="shared" si="39"/>
        <v>11894</v>
      </c>
      <c r="AK29" s="387">
        <f t="shared" si="40"/>
        <v>14616.543999999998</v>
      </c>
      <c r="AL29" s="387">
        <f t="shared" si="41"/>
        <v>11894</v>
      </c>
      <c r="AM29" s="388">
        <f t="shared" si="37"/>
        <v>11894</v>
      </c>
    </row>
    <row r="30" spans="1:41" s="423" customFormat="1" x14ac:dyDescent="0.2">
      <c r="A30" s="380" t="s">
        <v>475</v>
      </c>
      <c r="B30" s="381"/>
      <c r="C30" s="382">
        <v>16000</v>
      </c>
      <c r="D30" s="382">
        <v>16000</v>
      </c>
      <c r="E30" s="382">
        <v>5260.6350000000002</v>
      </c>
      <c r="F30" s="383">
        <v>16000</v>
      </c>
      <c r="G30" s="384">
        <v>2500</v>
      </c>
      <c r="H30" s="384">
        <v>2500</v>
      </c>
      <c r="I30" s="384">
        <v>1987.4870000000001</v>
      </c>
      <c r="J30" s="385">
        <v>2500</v>
      </c>
      <c r="K30" s="385">
        <v>13710</v>
      </c>
      <c r="L30" s="385">
        <v>13710</v>
      </c>
      <c r="M30" s="385">
        <v>8333.2520000000004</v>
      </c>
      <c r="N30" s="386">
        <v>13710</v>
      </c>
      <c r="O30" s="386">
        <v>500</v>
      </c>
      <c r="P30" s="386">
        <v>500</v>
      </c>
      <c r="Q30" s="386">
        <v>354</v>
      </c>
      <c r="R30" s="422">
        <v>500</v>
      </c>
      <c r="S30" s="422">
        <v>5000</v>
      </c>
      <c r="T30" s="422">
        <v>5000</v>
      </c>
      <c r="U30" s="422">
        <v>5130.335</v>
      </c>
      <c r="V30" s="422">
        <v>5000</v>
      </c>
      <c r="W30" s="422">
        <v>1800</v>
      </c>
      <c r="X30" s="422">
        <v>1800</v>
      </c>
      <c r="Y30" s="422">
        <v>3645.3789999999999</v>
      </c>
      <c r="Z30" s="422">
        <v>1800</v>
      </c>
      <c r="AA30" s="422">
        <v>1994</v>
      </c>
      <c r="AB30" s="422">
        <v>1994</v>
      </c>
      <c r="AC30" s="422">
        <v>417.86799999999999</v>
      </c>
      <c r="AD30" s="422">
        <v>1994</v>
      </c>
      <c r="AE30" s="422">
        <v>750</v>
      </c>
      <c r="AF30" s="422">
        <v>750</v>
      </c>
      <c r="AG30" s="422">
        <v>457.399</v>
      </c>
      <c r="AH30" s="422">
        <v>750</v>
      </c>
      <c r="AI30" s="387">
        <f t="shared" si="38"/>
        <v>42254</v>
      </c>
      <c r="AJ30" s="387">
        <f t="shared" si="39"/>
        <v>42254</v>
      </c>
      <c r="AK30" s="387">
        <f t="shared" si="40"/>
        <v>25586.355</v>
      </c>
      <c r="AL30" s="387">
        <f t="shared" si="41"/>
        <v>42254</v>
      </c>
      <c r="AM30" s="388">
        <f t="shared" si="37"/>
        <v>26254</v>
      </c>
    </row>
    <row r="31" spans="1:41" ht="25.5" x14ac:dyDescent="0.2">
      <c r="A31" s="380" t="s">
        <v>476</v>
      </c>
      <c r="B31" s="381"/>
      <c r="C31" s="382">
        <v>16535</v>
      </c>
      <c r="D31" s="382">
        <f>16535+2000</f>
        <v>18535</v>
      </c>
      <c r="E31" s="382">
        <v>3949.0169999999998</v>
      </c>
      <c r="F31" s="383">
        <v>16535</v>
      </c>
      <c r="G31" s="384">
        <v>16118</v>
      </c>
      <c r="H31" s="384">
        <v>16118</v>
      </c>
      <c r="I31" s="384">
        <v>9207.9359999999997</v>
      </c>
      <c r="J31" s="385">
        <v>16118.393</v>
      </c>
      <c r="K31" s="385">
        <v>5690</v>
      </c>
      <c r="L31" s="385">
        <v>5690</v>
      </c>
      <c r="M31" s="385">
        <v>5580.8980000000001</v>
      </c>
      <c r="N31" s="386">
        <v>5690</v>
      </c>
      <c r="O31" s="386">
        <v>39320</v>
      </c>
      <c r="P31" s="386">
        <v>39320</v>
      </c>
      <c r="Q31" s="386">
        <v>32313.937999999998</v>
      </c>
      <c r="R31" s="422">
        <v>39320</v>
      </c>
      <c r="S31" s="422">
        <v>11808</v>
      </c>
      <c r="T31" s="422">
        <v>11808</v>
      </c>
      <c r="U31" s="422">
        <v>18581.311000000002</v>
      </c>
      <c r="V31" s="422">
        <v>11808</v>
      </c>
      <c r="W31" s="422">
        <v>22481</v>
      </c>
      <c r="X31" s="422">
        <v>22481</v>
      </c>
      <c r="Y31" s="422">
        <v>21489.675999999999</v>
      </c>
      <c r="Z31" s="422">
        <v>22481</v>
      </c>
      <c r="AA31" s="422">
        <v>9363</v>
      </c>
      <c r="AB31" s="422">
        <v>9363</v>
      </c>
      <c r="AC31" s="422">
        <v>8054.45</v>
      </c>
      <c r="AD31" s="422">
        <v>9363</v>
      </c>
      <c r="AE31" s="422">
        <v>2660</v>
      </c>
      <c r="AF31" s="422">
        <v>2660</v>
      </c>
      <c r="AG31" s="422">
        <v>1656.9760000000001</v>
      </c>
      <c r="AH31" s="422">
        <v>2660</v>
      </c>
      <c r="AI31" s="387">
        <f t="shared" si="38"/>
        <v>123975</v>
      </c>
      <c r="AJ31" s="387">
        <f t="shared" si="39"/>
        <v>125975</v>
      </c>
      <c r="AK31" s="387">
        <f t="shared" si="40"/>
        <v>100834.202</v>
      </c>
      <c r="AL31" s="387">
        <f t="shared" si="41"/>
        <v>123975.393</v>
      </c>
      <c r="AM31" s="388">
        <f t="shared" si="37"/>
        <v>107440.393</v>
      </c>
    </row>
    <row r="32" spans="1:41" x14ac:dyDescent="0.2">
      <c r="A32" s="380" t="s">
        <v>477</v>
      </c>
      <c r="B32" s="381"/>
      <c r="C32" s="382"/>
      <c r="D32" s="382"/>
      <c r="E32" s="382"/>
      <c r="F32" s="383">
        <v>0</v>
      </c>
      <c r="G32" s="384"/>
      <c r="H32" s="384"/>
      <c r="I32" s="384"/>
      <c r="J32" s="385"/>
      <c r="K32" s="385"/>
      <c r="L32" s="385"/>
      <c r="M32" s="385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  <c r="AA32" s="386"/>
      <c r="AB32" s="386"/>
      <c r="AC32" s="386"/>
      <c r="AD32" s="386"/>
      <c r="AE32" s="386"/>
      <c r="AF32" s="386"/>
      <c r="AG32" s="386"/>
      <c r="AH32" s="386"/>
      <c r="AI32" s="387">
        <f t="shared" si="38"/>
        <v>0</v>
      </c>
      <c r="AJ32" s="387">
        <f t="shared" si="39"/>
        <v>0</v>
      </c>
      <c r="AK32" s="387">
        <f t="shared" si="40"/>
        <v>0</v>
      </c>
      <c r="AL32" s="387">
        <f t="shared" si="41"/>
        <v>0</v>
      </c>
      <c r="AM32" s="388">
        <f t="shared" si="37"/>
        <v>0</v>
      </c>
    </row>
    <row r="33" spans="1:39" s="404" customFormat="1" ht="13.5" x14ac:dyDescent="0.25">
      <c r="A33" s="399" t="s">
        <v>1125</v>
      </c>
      <c r="B33" s="400"/>
      <c r="C33" s="402">
        <f>+C30+C31+C32</f>
        <v>32535</v>
      </c>
      <c r="D33" s="402">
        <f>+D30+D31+D32</f>
        <v>34535</v>
      </c>
      <c r="E33" s="402">
        <v>9209.652</v>
      </c>
      <c r="F33" s="402">
        <f>+F30+F31</f>
        <v>32535</v>
      </c>
      <c r="G33" s="402">
        <f t="shared" ref="G33:H33" si="42">+G30+G31+G32</f>
        <v>18618</v>
      </c>
      <c r="H33" s="402">
        <f t="shared" si="42"/>
        <v>18618</v>
      </c>
      <c r="I33" s="402">
        <v>11195.422999999999</v>
      </c>
      <c r="J33" s="403">
        <v>18618.393</v>
      </c>
      <c r="K33" s="402">
        <f t="shared" ref="K33:L33" si="43">+K30+K31+K32</f>
        <v>19400</v>
      </c>
      <c r="L33" s="402">
        <f t="shared" si="43"/>
        <v>19400</v>
      </c>
      <c r="M33" s="403">
        <v>13914.150000000001</v>
      </c>
      <c r="N33" s="403">
        <v>19400</v>
      </c>
      <c r="O33" s="402">
        <f t="shared" ref="O33:P33" si="44">+O30+O31+O32</f>
        <v>39820</v>
      </c>
      <c r="P33" s="402">
        <f t="shared" si="44"/>
        <v>39820</v>
      </c>
      <c r="Q33" s="403">
        <v>32667.937999999998</v>
      </c>
      <c r="R33" s="403">
        <v>39820</v>
      </c>
      <c r="S33" s="402">
        <f t="shared" ref="S33:T33" si="45">+S30+S31+S32</f>
        <v>16808</v>
      </c>
      <c r="T33" s="402">
        <f t="shared" si="45"/>
        <v>16808</v>
      </c>
      <c r="U33" s="403">
        <v>23711.646000000001</v>
      </c>
      <c r="V33" s="403">
        <v>16808</v>
      </c>
      <c r="W33" s="402">
        <f t="shared" ref="W33:X33" si="46">+W30+W31+W32</f>
        <v>24281</v>
      </c>
      <c r="X33" s="402">
        <f t="shared" si="46"/>
        <v>24281</v>
      </c>
      <c r="Y33" s="403">
        <v>25135.055</v>
      </c>
      <c r="Z33" s="403">
        <v>24281</v>
      </c>
      <c r="AA33" s="402">
        <f t="shared" ref="AA33:AB33" si="47">+AA30+AA31+AA32</f>
        <v>11357</v>
      </c>
      <c r="AB33" s="402">
        <f t="shared" si="47"/>
        <v>11357</v>
      </c>
      <c r="AC33" s="403">
        <v>8472.3179999999993</v>
      </c>
      <c r="AD33" s="403">
        <v>11357</v>
      </c>
      <c r="AE33" s="402">
        <f t="shared" ref="AE33:AF33" si="48">+AE30+AE31+AE32</f>
        <v>3410</v>
      </c>
      <c r="AF33" s="402">
        <f t="shared" si="48"/>
        <v>3410</v>
      </c>
      <c r="AG33" s="403">
        <v>2114.375</v>
      </c>
      <c r="AH33" s="403">
        <v>3410</v>
      </c>
      <c r="AI33" s="409">
        <f t="shared" si="38"/>
        <v>166229</v>
      </c>
      <c r="AJ33" s="409">
        <f t="shared" si="39"/>
        <v>168229</v>
      </c>
      <c r="AK33" s="409">
        <f t="shared" si="40"/>
        <v>126420.557</v>
      </c>
      <c r="AL33" s="409">
        <f>F33+J33+N33+R33+V33+Z33+AD33+AH33</f>
        <v>166229.39299999998</v>
      </c>
      <c r="AM33" s="424">
        <f>J33+N33+R33+V33+Z33+AD33+AH33</f>
        <v>133694.39299999998</v>
      </c>
    </row>
    <row r="34" spans="1:39" ht="27" customHeight="1" x14ac:dyDescent="0.2">
      <c r="A34" s="380" t="s">
        <v>478</v>
      </c>
      <c r="B34" s="381"/>
      <c r="C34" s="382">
        <v>9118</v>
      </c>
      <c r="D34" s="382">
        <f>9118</f>
        <v>9118</v>
      </c>
      <c r="E34" s="382">
        <v>12554.092000000001</v>
      </c>
      <c r="F34" s="383">
        <v>9118</v>
      </c>
      <c r="G34" s="384">
        <v>52014</v>
      </c>
      <c r="H34" s="384">
        <v>52014</v>
      </c>
      <c r="I34" s="384">
        <v>95035.88</v>
      </c>
      <c r="J34" s="385">
        <v>52013.749000000003</v>
      </c>
      <c r="K34" s="385">
        <v>11489</v>
      </c>
      <c r="L34" s="385">
        <f>11489+700</f>
        <v>12189</v>
      </c>
      <c r="M34" s="385">
        <v>13781.393</v>
      </c>
      <c r="N34" s="386">
        <v>11489</v>
      </c>
      <c r="O34" s="386">
        <v>25190</v>
      </c>
      <c r="P34" s="386">
        <f>25190</f>
        <v>25190</v>
      </c>
      <c r="Q34" s="386">
        <v>9056.6880000000001</v>
      </c>
      <c r="R34" s="422">
        <v>25190</v>
      </c>
      <c r="S34" s="422">
        <v>1700</v>
      </c>
      <c r="T34" s="422">
        <v>1700</v>
      </c>
      <c r="U34" s="422">
        <v>1107.06</v>
      </c>
      <c r="V34" s="422">
        <v>1700</v>
      </c>
      <c r="W34" s="422">
        <v>1200</v>
      </c>
      <c r="X34" s="422">
        <v>1200</v>
      </c>
      <c r="Y34" s="422">
        <v>808.82100000000003</v>
      </c>
      <c r="Z34" s="422">
        <v>1200</v>
      </c>
      <c r="AA34" s="422">
        <v>3549</v>
      </c>
      <c r="AB34" s="422">
        <v>3549</v>
      </c>
      <c r="AC34" s="422">
        <v>2586.7159999999999</v>
      </c>
      <c r="AD34" s="422">
        <v>3549</v>
      </c>
      <c r="AE34" s="422">
        <v>240</v>
      </c>
      <c r="AF34" s="422">
        <v>240</v>
      </c>
      <c r="AG34" s="422">
        <v>122.66</v>
      </c>
      <c r="AH34" s="422">
        <v>240</v>
      </c>
      <c r="AI34" s="387">
        <f t="shared" si="38"/>
        <v>104500</v>
      </c>
      <c r="AJ34" s="387">
        <f t="shared" si="39"/>
        <v>105200</v>
      </c>
      <c r="AK34" s="387">
        <f t="shared" si="40"/>
        <v>135053.31</v>
      </c>
      <c r="AL34" s="387">
        <f t="shared" ref="AL34:AL35" si="49">F34+J34+N34+R34+V34+Z34+AD34+AH34</f>
        <v>104499.74900000001</v>
      </c>
      <c r="AM34" s="388">
        <f t="shared" ref="AM34:AM35" si="50">J34+N34+R34+V34+Z34+AD34+AH34</f>
        <v>95381.749000000011</v>
      </c>
    </row>
    <row r="35" spans="1:39" ht="26.25" customHeight="1" x14ac:dyDescent="0.2">
      <c r="A35" s="380" t="s">
        <v>479</v>
      </c>
      <c r="B35" s="381"/>
      <c r="C35" s="382">
        <v>3937</v>
      </c>
      <c r="D35" s="382">
        <v>3937</v>
      </c>
      <c r="E35" s="382">
        <v>877.32899999999995</v>
      </c>
      <c r="F35" s="383">
        <v>3937</v>
      </c>
      <c r="G35" s="384">
        <v>8437</v>
      </c>
      <c r="H35" s="384">
        <v>8437</v>
      </c>
      <c r="I35" s="384">
        <v>3199.172</v>
      </c>
      <c r="J35" s="385">
        <v>8437.0079999999998</v>
      </c>
      <c r="K35" s="385">
        <v>3424</v>
      </c>
      <c r="L35" s="385">
        <f>3424+300</f>
        <v>3724</v>
      </c>
      <c r="M35" s="385">
        <v>2699.136</v>
      </c>
      <c r="N35" s="386">
        <v>3424</v>
      </c>
      <c r="O35" s="386">
        <v>2400</v>
      </c>
      <c r="P35" s="386">
        <f>2400</f>
        <v>2400</v>
      </c>
      <c r="Q35" s="386">
        <v>2353.5410000000002</v>
      </c>
      <c r="R35" s="422">
        <v>2400</v>
      </c>
      <c r="S35" s="422">
        <v>1300</v>
      </c>
      <c r="T35" s="422">
        <v>1300</v>
      </c>
      <c r="U35" s="422">
        <v>936.10900000000004</v>
      </c>
      <c r="V35" s="422">
        <v>1300</v>
      </c>
      <c r="W35" s="422">
        <v>600</v>
      </c>
      <c r="X35" s="422">
        <v>600</v>
      </c>
      <c r="Y35" s="422">
        <v>509.75299999999999</v>
      </c>
      <c r="Z35" s="422">
        <v>600</v>
      </c>
      <c r="AA35" s="422">
        <v>3295</v>
      </c>
      <c r="AB35" s="422">
        <v>3295</v>
      </c>
      <c r="AC35" s="422">
        <v>1315.1980000000001</v>
      </c>
      <c r="AD35" s="422">
        <v>3295</v>
      </c>
      <c r="AE35" s="422">
        <v>300</v>
      </c>
      <c r="AF35" s="422">
        <v>300</v>
      </c>
      <c r="AG35" s="422">
        <v>182.67699999999999</v>
      </c>
      <c r="AH35" s="422">
        <v>300</v>
      </c>
      <c r="AI35" s="387">
        <f t="shared" si="38"/>
        <v>23693</v>
      </c>
      <c r="AJ35" s="387">
        <f t="shared" si="39"/>
        <v>23993</v>
      </c>
      <c r="AK35" s="387">
        <f t="shared" si="40"/>
        <v>12072.915000000001</v>
      </c>
      <c r="AL35" s="387">
        <f t="shared" si="49"/>
        <v>23693.008000000002</v>
      </c>
      <c r="AM35" s="388">
        <f t="shared" si="50"/>
        <v>19756.008000000002</v>
      </c>
    </row>
    <row r="36" spans="1:39" s="404" customFormat="1" ht="23.25" customHeight="1" x14ac:dyDescent="0.25">
      <c r="A36" s="399" t="s">
        <v>1126</v>
      </c>
      <c r="B36" s="400"/>
      <c r="C36" s="402">
        <f>+C34+C35</f>
        <v>13055</v>
      </c>
      <c r="D36" s="402">
        <f>+D34+D35</f>
        <v>13055</v>
      </c>
      <c r="E36" s="402">
        <v>13431.421</v>
      </c>
      <c r="F36" s="402">
        <f>+F35+F34</f>
        <v>13055</v>
      </c>
      <c r="G36" s="402">
        <f>+G34+G35</f>
        <v>60451</v>
      </c>
      <c r="H36" s="402">
        <f>+H34+H35</f>
        <v>60451</v>
      </c>
      <c r="I36" s="402">
        <v>98235.052000000011</v>
      </c>
      <c r="J36" s="403">
        <v>60450.757000000005</v>
      </c>
      <c r="K36" s="402">
        <f>+K34+K35</f>
        <v>14913</v>
      </c>
      <c r="L36" s="402">
        <f>+L34+L35</f>
        <v>15913</v>
      </c>
      <c r="M36" s="403">
        <v>16480.528999999999</v>
      </c>
      <c r="N36" s="403">
        <v>14913</v>
      </c>
      <c r="O36" s="402">
        <f>+O34+O35</f>
        <v>27590</v>
      </c>
      <c r="P36" s="402">
        <f>+P34+P35</f>
        <v>27590</v>
      </c>
      <c r="Q36" s="403">
        <v>11410.228999999999</v>
      </c>
      <c r="R36" s="403">
        <v>27590</v>
      </c>
      <c r="S36" s="402">
        <f>+S34+S35</f>
        <v>3000</v>
      </c>
      <c r="T36" s="402">
        <f>+T34+T35</f>
        <v>3000</v>
      </c>
      <c r="U36" s="403">
        <v>2043.1689999999999</v>
      </c>
      <c r="V36" s="403">
        <v>3000</v>
      </c>
      <c r="W36" s="402">
        <f>+W34+W35</f>
        <v>1800</v>
      </c>
      <c r="X36" s="402">
        <f>+X34+X35</f>
        <v>1800</v>
      </c>
      <c r="Y36" s="403">
        <v>1318.5740000000001</v>
      </c>
      <c r="Z36" s="403">
        <v>1800</v>
      </c>
      <c r="AA36" s="402">
        <f>+AA34+AA35</f>
        <v>6844</v>
      </c>
      <c r="AB36" s="402">
        <f>+AB34+AB35</f>
        <v>6844</v>
      </c>
      <c r="AC36" s="403">
        <v>3901.9139999999998</v>
      </c>
      <c r="AD36" s="403">
        <v>6844</v>
      </c>
      <c r="AE36" s="402">
        <f>+AE34+AE35</f>
        <v>540</v>
      </c>
      <c r="AF36" s="402">
        <f>+AF34+AF35</f>
        <v>540</v>
      </c>
      <c r="AG36" s="403">
        <v>305.33699999999999</v>
      </c>
      <c r="AH36" s="403">
        <v>540</v>
      </c>
      <c r="AI36" s="409">
        <f t="shared" si="38"/>
        <v>128193</v>
      </c>
      <c r="AJ36" s="409">
        <f t="shared" si="39"/>
        <v>129193</v>
      </c>
      <c r="AK36" s="409">
        <f t="shared" si="40"/>
        <v>147126.22499999998</v>
      </c>
      <c r="AL36" s="409">
        <f>F36+J36+N36+R36+V36+Z36+AD36+AH36</f>
        <v>128192.75700000001</v>
      </c>
      <c r="AM36" s="424">
        <f>J36+N36+R36+V36+Z36+AD36+AH36</f>
        <v>115137.75700000001</v>
      </c>
    </row>
    <row r="37" spans="1:39" x14ac:dyDescent="0.2">
      <c r="A37" s="380" t="s">
        <v>480</v>
      </c>
      <c r="B37" s="381"/>
      <c r="C37" s="382">
        <v>44252</v>
      </c>
      <c r="D37" s="382">
        <v>44252</v>
      </c>
      <c r="E37" s="382">
        <v>15377.084000000001</v>
      </c>
      <c r="F37" s="383">
        <v>44252</v>
      </c>
      <c r="G37" s="384">
        <v>20000</v>
      </c>
      <c r="H37" s="384">
        <v>20000</v>
      </c>
      <c r="I37" s="384">
        <v>16867.187000000002</v>
      </c>
      <c r="J37" s="385">
        <v>20000</v>
      </c>
      <c r="K37" s="385">
        <v>16184</v>
      </c>
      <c r="L37" s="385">
        <v>16184</v>
      </c>
      <c r="M37" s="385">
        <v>14863.558999999999</v>
      </c>
      <c r="N37" s="386">
        <v>16184</v>
      </c>
      <c r="O37" s="386">
        <v>44800</v>
      </c>
      <c r="P37" s="386">
        <v>44800</v>
      </c>
      <c r="Q37" s="386">
        <v>40604.807999999997</v>
      </c>
      <c r="R37" s="422">
        <v>44800</v>
      </c>
      <c r="S37" s="422">
        <v>18000</v>
      </c>
      <c r="T37" s="422">
        <v>18000</v>
      </c>
      <c r="U37" s="422">
        <v>18042.473000000002</v>
      </c>
      <c r="V37" s="422">
        <v>18000</v>
      </c>
      <c r="W37" s="422">
        <v>7000</v>
      </c>
      <c r="X37" s="422">
        <v>7000</v>
      </c>
      <c r="Y37" s="422">
        <v>6702.076</v>
      </c>
      <c r="Z37" s="422">
        <v>7000</v>
      </c>
      <c r="AA37" s="422">
        <v>5319</v>
      </c>
      <c r="AB37" s="422">
        <f>5319-100</f>
        <v>5219</v>
      </c>
      <c r="AC37" s="422">
        <v>4924.7579999999998</v>
      </c>
      <c r="AD37" s="422">
        <v>5319</v>
      </c>
      <c r="AE37" s="422">
        <v>3000</v>
      </c>
      <c r="AF37" s="422">
        <v>3000</v>
      </c>
      <c r="AG37" s="422">
        <v>1256.7260000000001</v>
      </c>
      <c r="AH37" s="422">
        <v>3000</v>
      </c>
      <c r="AI37" s="387">
        <f t="shared" si="38"/>
        <v>158555</v>
      </c>
      <c r="AJ37" s="387">
        <f t="shared" si="39"/>
        <v>158455</v>
      </c>
      <c r="AK37" s="387">
        <f t="shared" si="40"/>
        <v>118638.671</v>
      </c>
      <c r="AL37" s="387">
        <f t="shared" ref="AL37:AL45" si="51">F37+J37+N37+R37+V37+Z37+AD37+AH37</f>
        <v>158555</v>
      </c>
      <c r="AM37" s="388">
        <f t="shared" ref="AM37:AM45" si="52">J37+N37+R37+V37+Z37+AD37+AH37</f>
        <v>114303</v>
      </c>
    </row>
    <row r="38" spans="1:39" x14ac:dyDescent="0.2">
      <c r="A38" s="380" t="s">
        <v>481</v>
      </c>
      <c r="B38" s="381"/>
      <c r="C38" s="382"/>
      <c r="D38" s="382"/>
      <c r="E38" s="382"/>
      <c r="F38" s="383">
        <v>0</v>
      </c>
      <c r="G38" s="384">
        <v>900</v>
      </c>
      <c r="H38" s="384">
        <v>900</v>
      </c>
      <c r="I38" s="384"/>
      <c r="J38" s="385">
        <v>900</v>
      </c>
      <c r="K38" s="385"/>
      <c r="L38" s="385"/>
      <c r="M38" s="385"/>
      <c r="N38" s="386"/>
      <c r="O38" s="386">
        <v>174130</v>
      </c>
      <c r="P38" s="386">
        <v>174130</v>
      </c>
      <c r="Q38" s="386">
        <v>106165.04</v>
      </c>
      <c r="R38" s="422">
        <v>174130</v>
      </c>
      <c r="S38" s="422">
        <v>53820</v>
      </c>
      <c r="T38" s="422">
        <v>53820</v>
      </c>
      <c r="U38" s="422">
        <v>53933.85</v>
      </c>
      <c r="V38" s="422">
        <v>53820</v>
      </c>
      <c r="W38" s="422"/>
      <c r="X38" s="422"/>
      <c r="Y38" s="422"/>
      <c r="Z38" s="422">
        <v>0</v>
      </c>
      <c r="AA38" s="422">
        <v>31123</v>
      </c>
      <c r="AB38" s="422">
        <v>31123</v>
      </c>
      <c r="AC38" s="422">
        <v>38367.874000000003</v>
      </c>
      <c r="AD38" s="422">
        <v>31123</v>
      </c>
      <c r="AE38" s="422">
        <v>0</v>
      </c>
      <c r="AF38" s="422">
        <v>0</v>
      </c>
      <c r="AG38" s="422"/>
      <c r="AH38" s="422">
        <v>0</v>
      </c>
      <c r="AI38" s="387">
        <f t="shared" si="38"/>
        <v>259973</v>
      </c>
      <c r="AJ38" s="387">
        <f t="shared" si="39"/>
        <v>259973</v>
      </c>
      <c r="AK38" s="387">
        <f t="shared" si="40"/>
        <v>198466.764</v>
      </c>
      <c r="AL38" s="387">
        <f t="shared" si="51"/>
        <v>259973</v>
      </c>
      <c r="AM38" s="388">
        <f t="shared" si="52"/>
        <v>259973</v>
      </c>
    </row>
    <row r="39" spans="1:39" x14ac:dyDescent="0.2">
      <c r="A39" s="380" t="s">
        <v>482</v>
      </c>
      <c r="B39" s="381"/>
      <c r="C39" s="382">
        <v>430</v>
      </c>
      <c r="D39" s="382">
        <f>430</f>
        <v>430</v>
      </c>
      <c r="E39" s="382">
        <v>45869.758999999998</v>
      </c>
      <c r="F39" s="383">
        <v>430</v>
      </c>
      <c r="G39" s="384">
        <v>1500</v>
      </c>
      <c r="H39" s="384">
        <v>1500</v>
      </c>
      <c r="I39" s="384">
        <v>357.654</v>
      </c>
      <c r="J39" s="385">
        <v>1499.953</v>
      </c>
      <c r="K39" s="385">
        <v>1363</v>
      </c>
      <c r="L39" s="385">
        <v>1363</v>
      </c>
      <c r="M39" s="385">
        <v>1257.29</v>
      </c>
      <c r="N39" s="386">
        <v>1363</v>
      </c>
      <c r="O39" s="386">
        <v>6051</v>
      </c>
      <c r="P39" s="386">
        <f>6051-780</f>
        <v>5271</v>
      </c>
      <c r="Q39" s="386">
        <v>5024.7049999999999</v>
      </c>
      <c r="R39" s="422">
        <v>6051</v>
      </c>
      <c r="S39" s="422">
        <v>900</v>
      </c>
      <c r="T39" s="422">
        <v>900</v>
      </c>
      <c r="U39" s="422">
        <v>930.35599999999999</v>
      </c>
      <c r="V39" s="422">
        <v>900</v>
      </c>
      <c r="W39" s="422">
        <v>735</v>
      </c>
      <c r="X39" s="422">
        <v>735</v>
      </c>
      <c r="Y39" s="422">
        <v>663.36199999999997</v>
      </c>
      <c r="Z39" s="422">
        <v>735</v>
      </c>
      <c r="AA39" s="422">
        <v>3054</v>
      </c>
      <c r="AB39" s="422">
        <v>3054</v>
      </c>
      <c r="AC39" s="422">
        <v>2202.8589999999999</v>
      </c>
      <c r="AD39" s="422">
        <v>3054</v>
      </c>
      <c r="AE39" s="422">
        <v>300</v>
      </c>
      <c r="AF39" s="422">
        <v>300</v>
      </c>
      <c r="AG39" s="422">
        <v>86.593000000000004</v>
      </c>
      <c r="AH39" s="422">
        <v>300</v>
      </c>
      <c r="AI39" s="387">
        <f t="shared" si="38"/>
        <v>14333</v>
      </c>
      <c r="AJ39" s="387">
        <f t="shared" si="39"/>
        <v>13553</v>
      </c>
      <c r="AK39" s="387">
        <f t="shared" si="40"/>
        <v>56392.578000000001</v>
      </c>
      <c r="AL39" s="387">
        <f t="shared" si="51"/>
        <v>14332.953</v>
      </c>
      <c r="AM39" s="388">
        <f t="shared" si="52"/>
        <v>13902.953</v>
      </c>
    </row>
    <row r="40" spans="1:39" ht="25.5" x14ac:dyDescent="0.2">
      <c r="A40" s="380" t="s">
        <v>483</v>
      </c>
      <c r="B40" s="381"/>
      <c r="C40" s="382">
        <v>111811</v>
      </c>
      <c r="D40" s="382">
        <v>111811</v>
      </c>
      <c r="E40" s="382">
        <v>78485.061000000002</v>
      </c>
      <c r="F40" s="383">
        <v>111811</v>
      </c>
      <c r="G40" s="384">
        <v>21335</v>
      </c>
      <c r="H40" s="384">
        <f>21335-400</f>
        <v>20935</v>
      </c>
      <c r="I40" s="384">
        <v>6722.3310000000001</v>
      </c>
      <c r="J40" s="385">
        <v>21335.148999999998</v>
      </c>
      <c r="K40" s="385">
        <v>12999</v>
      </c>
      <c r="L40" s="385">
        <f>12999-1000</f>
        <v>11999</v>
      </c>
      <c r="M40" s="385">
        <v>10442.388000000001</v>
      </c>
      <c r="N40" s="386">
        <v>12999</v>
      </c>
      <c r="O40" s="386">
        <v>926914</v>
      </c>
      <c r="P40" s="386">
        <f>926914</f>
        <v>926914</v>
      </c>
      <c r="Q40" s="386">
        <v>584290.53399999999</v>
      </c>
      <c r="R40" s="422">
        <v>926914</v>
      </c>
      <c r="S40" s="422">
        <v>8144</v>
      </c>
      <c r="T40" s="422">
        <v>8144</v>
      </c>
      <c r="U40" s="422">
        <v>16782.975999999999</v>
      </c>
      <c r="V40" s="422">
        <v>8144</v>
      </c>
      <c r="W40" s="422">
        <v>4915</v>
      </c>
      <c r="X40" s="422">
        <v>4915</v>
      </c>
      <c r="Y40" s="422">
        <v>7968.3159999999998</v>
      </c>
      <c r="Z40" s="422">
        <v>4915</v>
      </c>
      <c r="AA40" s="422">
        <v>4508</v>
      </c>
      <c r="AB40" s="422">
        <v>4508</v>
      </c>
      <c r="AC40" s="422">
        <v>3860.1390000000001</v>
      </c>
      <c r="AD40" s="422">
        <v>4508</v>
      </c>
      <c r="AE40" s="422">
        <v>1600</v>
      </c>
      <c r="AF40" s="422">
        <v>1600</v>
      </c>
      <c r="AG40" s="422">
        <v>5948.2560000000003</v>
      </c>
      <c r="AH40" s="422">
        <v>1600</v>
      </c>
      <c r="AI40" s="387">
        <f t="shared" si="38"/>
        <v>1092226</v>
      </c>
      <c r="AJ40" s="387">
        <f t="shared" si="39"/>
        <v>1090826</v>
      </c>
      <c r="AK40" s="387">
        <f t="shared" si="40"/>
        <v>714500.00100000005</v>
      </c>
      <c r="AL40" s="387">
        <f t="shared" si="51"/>
        <v>1092226.149</v>
      </c>
      <c r="AM40" s="388">
        <f t="shared" si="52"/>
        <v>980415.14899999998</v>
      </c>
    </row>
    <row r="41" spans="1:39" x14ac:dyDescent="0.2">
      <c r="A41" s="380" t="s">
        <v>1127</v>
      </c>
      <c r="B41" s="381"/>
      <c r="C41" s="382">
        <v>6000</v>
      </c>
      <c r="D41" s="382">
        <v>6000</v>
      </c>
      <c r="E41" s="382">
        <v>2939.556</v>
      </c>
      <c r="F41" s="383">
        <v>6000</v>
      </c>
      <c r="G41" s="384">
        <v>50</v>
      </c>
      <c r="H41" s="384">
        <f>50+400</f>
        <v>450</v>
      </c>
      <c r="I41" s="384">
        <v>9.109</v>
      </c>
      <c r="J41" s="385">
        <v>50</v>
      </c>
      <c r="K41" s="385"/>
      <c r="L41" s="385"/>
      <c r="M41" s="385"/>
      <c r="N41" s="386"/>
      <c r="O41" s="386">
        <v>93840</v>
      </c>
      <c r="P41" s="386">
        <v>93840</v>
      </c>
      <c r="Q41" s="386">
        <v>61542.870999999999</v>
      </c>
      <c r="R41" s="422">
        <v>93840</v>
      </c>
      <c r="S41" s="422">
        <v>4837</v>
      </c>
      <c r="T41" s="422">
        <v>4837</v>
      </c>
      <c r="U41" s="422">
        <v>4170.4769999999999</v>
      </c>
      <c r="V41" s="422">
        <v>4837</v>
      </c>
      <c r="W41" s="422"/>
      <c r="X41" s="422"/>
      <c r="Y41" s="422"/>
      <c r="Z41" s="422">
        <v>0</v>
      </c>
      <c r="AA41" s="422"/>
      <c r="AB41" s="422">
        <v>100</v>
      </c>
      <c r="AC41" s="422"/>
      <c r="AD41" s="422">
        <v>0</v>
      </c>
      <c r="AE41" s="422"/>
      <c r="AF41" s="422"/>
      <c r="AG41" s="422">
        <v>0</v>
      </c>
      <c r="AH41" s="422">
        <v>0</v>
      </c>
      <c r="AI41" s="387">
        <f t="shared" si="38"/>
        <v>104727</v>
      </c>
      <c r="AJ41" s="387">
        <f t="shared" si="39"/>
        <v>105227</v>
      </c>
      <c r="AK41" s="387">
        <f t="shared" si="40"/>
        <v>68662.013000000006</v>
      </c>
      <c r="AL41" s="387">
        <f t="shared" si="51"/>
        <v>104727</v>
      </c>
      <c r="AM41" s="388">
        <f t="shared" si="52"/>
        <v>98727</v>
      </c>
    </row>
    <row r="42" spans="1:39" s="398" customFormat="1" hidden="1" x14ac:dyDescent="0.2">
      <c r="A42" s="391" t="s">
        <v>484</v>
      </c>
      <c r="B42" s="392"/>
      <c r="C42" s="393"/>
      <c r="D42" s="393"/>
      <c r="E42" s="393"/>
      <c r="F42" s="394"/>
      <c r="G42" s="395"/>
      <c r="H42" s="395"/>
      <c r="I42" s="395"/>
      <c r="J42" s="396"/>
      <c r="K42" s="396"/>
      <c r="L42" s="396"/>
      <c r="M42" s="396"/>
      <c r="N42" s="396"/>
      <c r="O42" s="396"/>
      <c r="P42" s="396"/>
      <c r="Q42" s="396"/>
      <c r="R42" s="397"/>
      <c r="S42" s="397"/>
      <c r="T42" s="397"/>
      <c r="U42" s="397">
        <v>2126</v>
      </c>
      <c r="V42" s="397"/>
      <c r="W42" s="397"/>
      <c r="X42" s="397"/>
      <c r="Y42" s="397"/>
      <c r="Z42" s="397"/>
      <c r="AA42" s="397"/>
      <c r="AB42" s="397"/>
      <c r="AC42" s="397"/>
      <c r="AD42" s="397"/>
      <c r="AE42" s="397"/>
      <c r="AF42" s="397"/>
      <c r="AG42" s="397"/>
      <c r="AH42" s="397"/>
      <c r="AI42" s="387">
        <f t="shared" si="38"/>
        <v>0</v>
      </c>
      <c r="AJ42" s="387">
        <f t="shared" si="39"/>
        <v>0</v>
      </c>
      <c r="AK42" s="387">
        <f t="shared" si="40"/>
        <v>2126</v>
      </c>
      <c r="AL42" s="387">
        <f t="shared" si="51"/>
        <v>0</v>
      </c>
      <c r="AM42" s="388">
        <f t="shared" si="52"/>
        <v>0</v>
      </c>
    </row>
    <row r="43" spans="1:39" ht="25.5" x14ac:dyDescent="0.2">
      <c r="A43" s="380" t="s">
        <v>485</v>
      </c>
      <c r="B43" s="381"/>
      <c r="C43" s="382">
        <v>81474</v>
      </c>
      <c r="D43" s="382">
        <f>81474</f>
        <v>81474</v>
      </c>
      <c r="E43" s="382">
        <v>75816.195999999996</v>
      </c>
      <c r="F43" s="383">
        <v>81474</v>
      </c>
      <c r="G43" s="384">
        <v>48944</v>
      </c>
      <c r="H43" s="384">
        <v>48944</v>
      </c>
      <c r="I43" s="384">
        <v>45906.27</v>
      </c>
      <c r="J43" s="385">
        <v>48944</v>
      </c>
      <c r="K43" s="385">
        <v>136342</v>
      </c>
      <c r="L43" s="385">
        <v>136342</v>
      </c>
      <c r="M43" s="385">
        <v>144766.709</v>
      </c>
      <c r="N43" s="386">
        <v>136342</v>
      </c>
      <c r="O43" s="386">
        <v>196318</v>
      </c>
      <c r="P43" s="386">
        <v>196318</v>
      </c>
      <c r="Q43" s="386">
        <v>73718.994000000006</v>
      </c>
      <c r="R43" s="422">
        <v>196318</v>
      </c>
      <c r="S43" s="422">
        <v>8000</v>
      </c>
      <c r="T43" s="422">
        <v>8000</v>
      </c>
      <c r="U43" s="422">
        <v>5670.2070000000003</v>
      </c>
      <c r="V43" s="422">
        <v>8000</v>
      </c>
      <c r="W43" s="422">
        <v>2000</v>
      </c>
      <c r="X43" s="422">
        <v>2000</v>
      </c>
      <c r="Y43" s="422">
        <v>1238.741</v>
      </c>
      <c r="Z43" s="422">
        <v>2000</v>
      </c>
      <c r="AA43" s="422">
        <v>7594</v>
      </c>
      <c r="AB43" s="422">
        <v>7594</v>
      </c>
      <c r="AC43" s="422">
        <v>3449</v>
      </c>
      <c r="AD43" s="422">
        <v>7594</v>
      </c>
      <c r="AE43" s="422">
        <v>1250</v>
      </c>
      <c r="AF43" s="422">
        <v>1250</v>
      </c>
      <c r="AG43" s="422">
        <v>144</v>
      </c>
      <c r="AH43" s="422">
        <v>1250</v>
      </c>
      <c r="AI43" s="387">
        <f t="shared" si="38"/>
        <v>481922</v>
      </c>
      <c r="AJ43" s="387">
        <f t="shared" si="39"/>
        <v>481922</v>
      </c>
      <c r="AK43" s="387">
        <f t="shared" si="40"/>
        <v>350710.11699999997</v>
      </c>
      <c r="AL43" s="387">
        <f t="shared" si="51"/>
        <v>481922</v>
      </c>
      <c r="AM43" s="388">
        <f t="shared" si="52"/>
        <v>400448</v>
      </c>
    </row>
    <row r="44" spans="1:39" x14ac:dyDescent="0.2">
      <c r="A44" s="380" t="s">
        <v>1128</v>
      </c>
      <c r="B44" s="381"/>
      <c r="C44" s="382">
        <v>1028111</v>
      </c>
      <c r="D44" s="382">
        <f>1028111+13145+50000</f>
        <v>1091256</v>
      </c>
      <c r="E44" s="382">
        <v>575659.63300000003</v>
      </c>
      <c r="F44" s="383">
        <v>1028111</v>
      </c>
      <c r="G44" s="384">
        <v>66860</v>
      </c>
      <c r="H44" s="384">
        <v>66860</v>
      </c>
      <c r="I44" s="384">
        <v>38844.571000000004</v>
      </c>
      <c r="J44" s="385">
        <v>66859.982000000004</v>
      </c>
      <c r="K44" s="385">
        <v>18333</v>
      </c>
      <c r="L44" s="385">
        <v>18333</v>
      </c>
      <c r="M44" s="385">
        <v>20641.391</v>
      </c>
      <c r="N44" s="386">
        <v>18333</v>
      </c>
      <c r="O44" s="386">
        <v>315002</v>
      </c>
      <c r="P44" s="386">
        <v>315002</v>
      </c>
      <c r="Q44" s="386">
        <v>394576.37699999998</v>
      </c>
      <c r="R44" s="422">
        <v>315002</v>
      </c>
      <c r="S44" s="422">
        <v>13581</v>
      </c>
      <c r="T44" s="422">
        <v>13581</v>
      </c>
      <c r="U44" s="422">
        <v>22671.807000000001</v>
      </c>
      <c r="V44" s="422">
        <v>13581</v>
      </c>
      <c r="W44" s="422">
        <v>7997</v>
      </c>
      <c r="X44" s="422">
        <v>7997</v>
      </c>
      <c r="Y44" s="422">
        <v>6670.2709999999997</v>
      </c>
      <c r="Z44" s="422">
        <v>7997</v>
      </c>
      <c r="AA44" s="422">
        <v>7707</v>
      </c>
      <c r="AB44" s="422">
        <v>7707</v>
      </c>
      <c r="AC44" s="422">
        <v>3822.1489999999999</v>
      </c>
      <c r="AD44" s="422">
        <v>7707</v>
      </c>
      <c r="AE44" s="422">
        <v>4286</v>
      </c>
      <c r="AF44" s="422">
        <v>4286</v>
      </c>
      <c r="AG44" s="422">
        <v>2615.4769999999999</v>
      </c>
      <c r="AH44" s="422">
        <v>4286</v>
      </c>
      <c r="AI44" s="387">
        <f t="shared" si="38"/>
        <v>1461877</v>
      </c>
      <c r="AJ44" s="387">
        <f t="shared" si="39"/>
        <v>1525022</v>
      </c>
      <c r="AK44" s="387">
        <f t="shared" si="40"/>
        <v>1065501.6759999997</v>
      </c>
      <c r="AL44" s="387">
        <f t="shared" si="51"/>
        <v>1461876.9820000001</v>
      </c>
      <c r="AM44" s="388">
        <f t="shared" si="52"/>
        <v>433765.98200000002</v>
      </c>
    </row>
    <row r="45" spans="1:39" s="398" customFormat="1" x14ac:dyDescent="0.2">
      <c r="A45" s="391" t="s">
        <v>486</v>
      </c>
      <c r="B45" s="392"/>
      <c r="C45" s="393"/>
      <c r="D45" s="393"/>
      <c r="E45" s="393"/>
      <c r="F45" s="394"/>
      <c r="G45" s="395"/>
      <c r="H45" s="395"/>
      <c r="I45" s="395"/>
      <c r="J45" s="396"/>
      <c r="K45" s="396"/>
      <c r="L45" s="396"/>
      <c r="M45" s="396">
        <v>1190.9359999999999</v>
      </c>
      <c r="N45" s="396"/>
      <c r="O45" s="396"/>
      <c r="P45" s="396"/>
      <c r="Q45" s="396"/>
      <c r="R45" s="397"/>
      <c r="S45" s="397"/>
      <c r="T45" s="397"/>
      <c r="U45" s="397"/>
      <c r="V45" s="397"/>
      <c r="W45" s="397"/>
      <c r="X45" s="397"/>
      <c r="Y45" s="397"/>
      <c r="Z45" s="397"/>
      <c r="AA45" s="397"/>
      <c r="AB45" s="397"/>
      <c r="AC45" s="397">
        <v>295</v>
      </c>
      <c r="AD45" s="397"/>
      <c r="AE45" s="397"/>
      <c r="AF45" s="397"/>
      <c r="AG45" s="397"/>
      <c r="AH45" s="397"/>
      <c r="AI45" s="387">
        <f t="shared" si="38"/>
        <v>0</v>
      </c>
      <c r="AJ45" s="387">
        <f t="shared" si="39"/>
        <v>0</v>
      </c>
      <c r="AK45" s="387">
        <f t="shared" si="40"/>
        <v>1485.9359999999999</v>
      </c>
      <c r="AL45" s="387">
        <f t="shared" si="51"/>
        <v>0</v>
      </c>
      <c r="AM45" s="388">
        <f t="shared" si="52"/>
        <v>0</v>
      </c>
    </row>
    <row r="46" spans="1:39" s="404" customFormat="1" ht="13.5" x14ac:dyDescent="0.25">
      <c r="A46" s="399" t="s">
        <v>1129</v>
      </c>
      <c r="B46" s="400"/>
      <c r="C46" s="402">
        <f>+C37+C38+C39+C40+C41+C43+C44</f>
        <v>1272078</v>
      </c>
      <c r="D46" s="402">
        <f>+D37+D38+D39+D40+D41+D43+D44</f>
        <v>1335223</v>
      </c>
      <c r="E46" s="402">
        <v>794147.28899999999</v>
      </c>
      <c r="F46" s="402">
        <f>+F37+F38+F39+F40+F41+F43+F44</f>
        <v>1272078</v>
      </c>
      <c r="G46" s="402">
        <f>+G37+G38+G39+G40+G41+G43+G44</f>
        <v>159589</v>
      </c>
      <c r="H46" s="402">
        <f>+H37+H38+H39+H40+H41+H43+H44</f>
        <v>159589</v>
      </c>
      <c r="I46" s="402">
        <v>108707.122</v>
      </c>
      <c r="J46" s="403">
        <v>159589.084</v>
      </c>
      <c r="K46" s="402">
        <f>+K37+K38+K39+K40+K41+K43+K44</f>
        <v>185221</v>
      </c>
      <c r="L46" s="402">
        <f>+L37+L38+L39+L40+L41+L43+L44</f>
        <v>184221</v>
      </c>
      <c r="M46" s="403">
        <v>191971.33700000003</v>
      </c>
      <c r="N46" s="403">
        <v>185221</v>
      </c>
      <c r="O46" s="402">
        <f>+O37+O38+O39+O40+O41+O43+O44</f>
        <v>1757055</v>
      </c>
      <c r="P46" s="402">
        <f>+P37+P38+P39+P40+P41+P43+P44</f>
        <v>1756275</v>
      </c>
      <c r="Q46" s="403">
        <v>1265923.3290000001</v>
      </c>
      <c r="R46" s="403">
        <v>1757055</v>
      </c>
      <c r="S46" s="402">
        <f>+S37+S38+S39+S40+S41+S43+S44</f>
        <v>107282</v>
      </c>
      <c r="T46" s="402">
        <f>+T37+T38+T39+T40+T41+T43+T44</f>
        <v>107282</v>
      </c>
      <c r="U46" s="403">
        <v>122202.14600000001</v>
      </c>
      <c r="V46" s="403">
        <v>107282</v>
      </c>
      <c r="W46" s="402">
        <f>+W37+W38+W39+W40+W41+W43+W44</f>
        <v>22647</v>
      </c>
      <c r="X46" s="402">
        <f>+X37+X38+X39+X40+X41+X43+X44</f>
        <v>22647</v>
      </c>
      <c r="Y46" s="403">
        <v>23242.766</v>
      </c>
      <c r="Z46" s="403">
        <v>22647</v>
      </c>
      <c r="AA46" s="402">
        <f>+AA37+AA38+AA39+AA40+AA41+AA43+AA44</f>
        <v>59305</v>
      </c>
      <c r="AB46" s="402">
        <f>+AB37+AB38+AB39+AB40+AB41+AB43+AB44</f>
        <v>59305</v>
      </c>
      <c r="AC46" s="403">
        <v>56626.77900000001</v>
      </c>
      <c r="AD46" s="403">
        <v>59305</v>
      </c>
      <c r="AE46" s="402">
        <f>+AE37+AE38+AE39+AE40+AE41+AE43+AE44</f>
        <v>10436</v>
      </c>
      <c r="AF46" s="402">
        <f>+AF37+AF38+AF39+AF40+AF41+AF43+AF44</f>
        <v>10436</v>
      </c>
      <c r="AG46" s="403">
        <v>10051.052000000001</v>
      </c>
      <c r="AH46" s="403">
        <v>10436</v>
      </c>
      <c r="AI46" s="409">
        <v>3573613</v>
      </c>
      <c r="AJ46" s="409">
        <f t="shared" si="39"/>
        <v>3634978</v>
      </c>
      <c r="AK46" s="409">
        <f t="shared" si="40"/>
        <v>2572871.8200000003</v>
      </c>
      <c r="AL46" s="409">
        <f>F46+J46+N46+R46+V46+Z46+AD46+AH46</f>
        <v>3573613.0839999998</v>
      </c>
      <c r="AM46" s="424">
        <f>J46+N46+R46+V46+Z46+AD46+AH46</f>
        <v>2301535.0839999998</v>
      </c>
    </row>
    <row r="47" spans="1:39" x14ac:dyDescent="0.2">
      <c r="A47" s="380" t="s">
        <v>487</v>
      </c>
      <c r="B47" s="381"/>
      <c r="C47" s="382"/>
      <c r="D47" s="382"/>
      <c r="E47" s="382">
        <v>0</v>
      </c>
      <c r="F47" s="383">
        <v>0</v>
      </c>
      <c r="G47" s="384">
        <v>50</v>
      </c>
      <c r="H47" s="384">
        <v>50</v>
      </c>
      <c r="I47" s="384">
        <v>38.93</v>
      </c>
      <c r="J47" s="385">
        <v>50</v>
      </c>
      <c r="K47" s="385">
        <v>200</v>
      </c>
      <c r="L47" s="385">
        <v>200</v>
      </c>
      <c r="M47" s="385">
        <v>142.29</v>
      </c>
      <c r="N47" s="386">
        <v>200</v>
      </c>
      <c r="O47" s="386"/>
      <c r="P47" s="386"/>
      <c r="Q47" s="386">
        <v>113.154</v>
      </c>
      <c r="R47" s="386"/>
      <c r="S47" s="386"/>
      <c r="T47" s="386"/>
      <c r="U47" s="386"/>
      <c r="V47" s="386"/>
      <c r="W47" s="386"/>
      <c r="X47" s="386"/>
      <c r="Y47" s="386"/>
      <c r="Z47" s="386"/>
      <c r="AA47" s="386"/>
      <c r="AB47" s="386"/>
      <c r="AC47" s="386"/>
      <c r="AD47" s="386"/>
      <c r="AE47" s="386"/>
      <c r="AF47" s="386"/>
      <c r="AG47" s="386"/>
      <c r="AH47" s="386"/>
      <c r="AI47" s="387">
        <f t="shared" si="38"/>
        <v>250</v>
      </c>
      <c r="AJ47" s="387">
        <f t="shared" si="39"/>
        <v>250</v>
      </c>
      <c r="AK47" s="387">
        <f t="shared" si="40"/>
        <v>294.37400000000002</v>
      </c>
      <c r="AL47" s="387">
        <f t="shared" ref="AL47:AL48" si="53">F47+J47+N47+R47+V47+Z47+AD47+AH47</f>
        <v>250</v>
      </c>
      <c r="AM47" s="388">
        <f t="shared" ref="AM47:AM48" si="54">J47+N47+R47+V47+Z47+AD47+AH47</f>
        <v>250</v>
      </c>
    </row>
    <row r="48" spans="1:39" x14ac:dyDescent="0.2">
      <c r="A48" s="380" t="s">
        <v>488</v>
      </c>
      <c r="B48" s="381"/>
      <c r="C48" s="382"/>
      <c r="D48" s="382"/>
      <c r="E48" s="382">
        <v>12897.986000000001</v>
      </c>
      <c r="F48" s="383">
        <v>0</v>
      </c>
      <c r="G48" s="384">
        <v>1000</v>
      </c>
      <c r="H48" s="384">
        <v>1000</v>
      </c>
      <c r="I48" s="384">
        <v>3379.3</v>
      </c>
      <c r="J48" s="385">
        <v>1000</v>
      </c>
      <c r="K48" s="385"/>
      <c r="L48" s="385"/>
      <c r="M48" s="385"/>
      <c r="N48" s="397"/>
      <c r="O48" s="397"/>
      <c r="P48" s="397"/>
      <c r="Q48" s="397"/>
      <c r="R48" s="386"/>
      <c r="S48" s="386"/>
      <c r="T48" s="386"/>
      <c r="U48" s="386"/>
      <c r="V48" s="386"/>
      <c r="W48" s="386"/>
      <c r="X48" s="386"/>
      <c r="Y48" s="386"/>
      <c r="Z48" s="386"/>
      <c r="AA48" s="386"/>
      <c r="AB48" s="386"/>
      <c r="AC48" s="386"/>
      <c r="AD48" s="386"/>
      <c r="AE48" s="386"/>
      <c r="AF48" s="386"/>
      <c r="AG48" s="386"/>
      <c r="AH48" s="386"/>
      <c r="AI48" s="387">
        <f t="shared" si="38"/>
        <v>1000</v>
      </c>
      <c r="AJ48" s="387">
        <f t="shared" si="39"/>
        <v>1000</v>
      </c>
      <c r="AK48" s="387">
        <f t="shared" si="40"/>
        <v>16277.286</v>
      </c>
      <c r="AL48" s="387">
        <f t="shared" si="53"/>
        <v>1000</v>
      </c>
      <c r="AM48" s="388">
        <f t="shared" si="54"/>
        <v>1000</v>
      </c>
    </row>
    <row r="49" spans="1:41" s="404" customFormat="1" ht="25.5" x14ac:dyDescent="0.25">
      <c r="A49" s="399" t="s">
        <v>1130</v>
      </c>
      <c r="B49" s="400"/>
      <c r="C49" s="402">
        <f>+C48+C47</f>
        <v>0</v>
      </c>
      <c r="D49" s="402">
        <f>+D48+D47</f>
        <v>0</v>
      </c>
      <c r="E49" s="402">
        <v>12897.986000000001</v>
      </c>
      <c r="F49" s="402">
        <v>0</v>
      </c>
      <c r="G49" s="402">
        <f t="shared" ref="G49:H49" si="55">+G48+G47</f>
        <v>1050</v>
      </c>
      <c r="H49" s="402">
        <f t="shared" si="55"/>
        <v>1050</v>
      </c>
      <c r="I49" s="402">
        <v>3418.23</v>
      </c>
      <c r="J49" s="403">
        <v>1050</v>
      </c>
      <c r="K49" s="402">
        <f t="shared" ref="K49:L49" si="56">+K48+K47</f>
        <v>200</v>
      </c>
      <c r="L49" s="402">
        <f t="shared" si="56"/>
        <v>200</v>
      </c>
      <c r="M49" s="403">
        <v>142.29</v>
      </c>
      <c r="N49" s="403">
        <v>200</v>
      </c>
      <c r="O49" s="402">
        <f t="shared" ref="O49:P49" si="57">+O48+O47</f>
        <v>0</v>
      </c>
      <c r="P49" s="402">
        <f t="shared" si="57"/>
        <v>0</v>
      </c>
      <c r="Q49" s="403">
        <v>113.154</v>
      </c>
      <c r="R49" s="403">
        <v>0</v>
      </c>
      <c r="S49" s="402">
        <f t="shared" ref="S49:T49" si="58">+S48+S47</f>
        <v>0</v>
      </c>
      <c r="T49" s="402">
        <f t="shared" si="58"/>
        <v>0</v>
      </c>
      <c r="U49" s="403"/>
      <c r="V49" s="403">
        <v>0</v>
      </c>
      <c r="W49" s="402">
        <f t="shared" ref="W49:X49" si="59">+W48+W47</f>
        <v>0</v>
      </c>
      <c r="X49" s="402">
        <f t="shared" si="59"/>
        <v>0</v>
      </c>
      <c r="Y49" s="403"/>
      <c r="Z49" s="403">
        <v>0</v>
      </c>
      <c r="AA49" s="402">
        <f t="shared" ref="AA49:AB49" si="60">+AA48+AA47</f>
        <v>0</v>
      </c>
      <c r="AB49" s="402">
        <f t="shared" si="60"/>
        <v>0</v>
      </c>
      <c r="AC49" s="403">
        <v>0</v>
      </c>
      <c r="AD49" s="403">
        <v>0</v>
      </c>
      <c r="AE49" s="402">
        <f t="shared" ref="AE49:AF49" si="61">+AE48+AE47</f>
        <v>0</v>
      </c>
      <c r="AF49" s="402">
        <f t="shared" si="61"/>
        <v>0</v>
      </c>
      <c r="AG49" s="403"/>
      <c r="AH49" s="403">
        <v>0</v>
      </c>
      <c r="AI49" s="409">
        <f t="shared" si="38"/>
        <v>1250</v>
      </c>
      <c r="AJ49" s="409">
        <f t="shared" si="39"/>
        <v>1250</v>
      </c>
      <c r="AK49" s="409">
        <f t="shared" si="40"/>
        <v>16571.66</v>
      </c>
      <c r="AL49" s="409">
        <f>F49+J49+N49+R49+V49+Z49+AD49+AH49</f>
        <v>1250</v>
      </c>
      <c r="AM49" s="424">
        <f>J49+N49+R49+V49+Z49+AD49+AH49</f>
        <v>1250</v>
      </c>
    </row>
    <row r="50" spans="1:41" ht="25.5" x14ac:dyDescent="0.2">
      <c r="A50" s="380" t="s">
        <v>489</v>
      </c>
      <c r="B50" s="381"/>
      <c r="C50" s="382">
        <v>341683</v>
      </c>
      <c r="D50" s="382">
        <v>341683</v>
      </c>
      <c r="E50" s="382">
        <v>196845.128</v>
      </c>
      <c r="F50" s="383">
        <v>341682.58399999997</v>
      </c>
      <c r="G50" s="384">
        <v>64438</v>
      </c>
      <c r="H50" s="384">
        <f>64438-1-606</f>
        <v>63831</v>
      </c>
      <c r="I50" s="384">
        <v>53583.084000000003</v>
      </c>
      <c r="J50" s="385">
        <v>64437.726999999999</v>
      </c>
      <c r="K50" s="385">
        <v>20750</v>
      </c>
      <c r="L50" s="385">
        <v>20750</v>
      </c>
      <c r="M50" s="385">
        <v>18592.25</v>
      </c>
      <c r="N50" s="386">
        <v>20750</v>
      </c>
      <c r="O50" s="386">
        <v>492607</v>
      </c>
      <c r="P50" s="386">
        <v>492607</v>
      </c>
      <c r="Q50" s="386">
        <v>273449.81</v>
      </c>
      <c r="R50" s="422">
        <v>492607</v>
      </c>
      <c r="S50" s="422">
        <v>34029</v>
      </c>
      <c r="T50" s="422">
        <v>34029</v>
      </c>
      <c r="U50" s="422">
        <v>34495.383000000002</v>
      </c>
      <c r="V50" s="422">
        <v>34029</v>
      </c>
      <c r="W50" s="422">
        <v>12981</v>
      </c>
      <c r="X50" s="422">
        <v>12981</v>
      </c>
      <c r="Y50" s="422">
        <v>10954.772999999999</v>
      </c>
      <c r="Z50" s="422">
        <v>12981</v>
      </c>
      <c r="AA50" s="422">
        <v>20671</v>
      </c>
      <c r="AB50" s="422">
        <v>20671</v>
      </c>
      <c r="AC50" s="422">
        <v>16806.056</v>
      </c>
      <c r="AD50" s="422">
        <v>20671</v>
      </c>
      <c r="AE50" s="422">
        <v>3837</v>
      </c>
      <c r="AF50" s="422">
        <v>3837</v>
      </c>
      <c r="AG50" s="422">
        <v>2986.3339999999998</v>
      </c>
      <c r="AH50" s="422">
        <v>3837</v>
      </c>
      <c r="AI50" s="387">
        <f t="shared" si="38"/>
        <v>990996</v>
      </c>
      <c r="AJ50" s="387">
        <f t="shared" si="39"/>
        <v>990389</v>
      </c>
      <c r="AK50" s="387">
        <f t="shared" si="40"/>
        <v>607712.81800000009</v>
      </c>
      <c r="AL50" s="387">
        <f t="shared" ref="AL50:AL52" si="62">F50+J50+N50+R50+V50+Z50+AD50+AH50</f>
        <v>990995.31099999999</v>
      </c>
      <c r="AM50" s="388">
        <f t="shared" ref="AM50:AM52" si="63">J50+N50+R50+V50+Z50+AD50+AH50</f>
        <v>649312.72699999996</v>
      </c>
    </row>
    <row r="51" spans="1:41" x14ac:dyDescent="0.2">
      <c r="A51" s="380" t="s">
        <v>490</v>
      </c>
      <c r="B51" s="381"/>
      <c r="C51" s="382">
        <v>500000</v>
      </c>
      <c r="D51" s="382">
        <v>500000</v>
      </c>
      <c r="E51" s="382">
        <v>546740</v>
      </c>
      <c r="F51" s="383">
        <v>500000</v>
      </c>
      <c r="G51" s="384"/>
      <c r="H51" s="384">
        <v>606</v>
      </c>
      <c r="I51" s="384">
        <v>4722</v>
      </c>
      <c r="J51" s="385"/>
      <c r="K51" s="385">
        <v>1917</v>
      </c>
      <c r="L51" s="385">
        <v>1917</v>
      </c>
      <c r="M51" s="385">
        <v>1271</v>
      </c>
      <c r="N51" s="386">
        <v>1917</v>
      </c>
      <c r="O51" s="386">
        <v>90000</v>
      </c>
      <c r="P51" s="386">
        <v>90000</v>
      </c>
      <c r="Q51" s="386">
        <v>0</v>
      </c>
      <c r="R51" s="422">
        <v>90000</v>
      </c>
      <c r="S51" s="422">
        <v>1800</v>
      </c>
      <c r="T51" s="422">
        <v>1800</v>
      </c>
      <c r="U51" s="422">
        <v>782</v>
      </c>
      <c r="V51" s="422">
        <v>1800</v>
      </c>
      <c r="W51" s="422">
        <v>1104</v>
      </c>
      <c r="X51" s="422">
        <v>1104</v>
      </c>
      <c r="Y51" s="422">
        <v>0</v>
      </c>
      <c r="Z51" s="422">
        <v>1104</v>
      </c>
      <c r="AA51" s="422">
        <v>3687</v>
      </c>
      <c r="AB51" s="422">
        <v>3687</v>
      </c>
      <c r="AC51" s="422"/>
      <c r="AD51" s="422">
        <v>3687</v>
      </c>
      <c r="AE51" s="422"/>
      <c r="AF51" s="422"/>
      <c r="AG51" s="422">
        <v>5</v>
      </c>
      <c r="AH51" s="422">
        <v>0</v>
      </c>
      <c r="AI51" s="387">
        <f t="shared" si="38"/>
        <v>598508</v>
      </c>
      <c r="AJ51" s="387">
        <f t="shared" si="39"/>
        <v>599114</v>
      </c>
      <c r="AK51" s="387">
        <f t="shared" si="40"/>
        <v>553520</v>
      </c>
      <c r="AL51" s="387">
        <f t="shared" si="62"/>
        <v>598508</v>
      </c>
      <c r="AM51" s="388">
        <f t="shared" si="63"/>
        <v>98508</v>
      </c>
    </row>
    <row r="52" spans="1:41" x14ac:dyDescent="0.2">
      <c r="A52" s="380" t="s">
        <v>1131</v>
      </c>
      <c r="B52" s="381"/>
      <c r="C52" s="382"/>
      <c r="D52" s="382"/>
      <c r="E52" s="382"/>
      <c r="F52" s="383"/>
      <c r="G52" s="384"/>
      <c r="H52" s="384"/>
      <c r="I52" s="384"/>
      <c r="J52" s="405"/>
      <c r="K52" s="405"/>
      <c r="L52" s="405"/>
      <c r="M52" s="405"/>
      <c r="N52" s="405"/>
      <c r="O52" s="405"/>
      <c r="P52" s="405">
        <v>780</v>
      </c>
      <c r="Q52" s="405">
        <v>158.517</v>
      </c>
      <c r="R52" s="422">
        <v>0</v>
      </c>
      <c r="S52" s="422"/>
      <c r="T52" s="422"/>
      <c r="U52" s="422"/>
      <c r="V52" s="422">
        <v>0</v>
      </c>
      <c r="W52" s="422"/>
      <c r="X52" s="422"/>
      <c r="Y52" s="422"/>
      <c r="Z52" s="422">
        <v>0</v>
      </c>
      <c r="AA52" s="422"/>
      <c r="AB52" s="422"/>
      <c r="AC52" s="422"/>
      <c r="AD52" s="422">
        <v>0</v>
      </c>
      <c r="AE52" s="422"/>
      <c r="AF52" s="422"/>
      <c r="AG52" s="422"/>
      <c r="AH52" s="422">
        <v>0</v>
      </c>
      <c r="AI52" s="387">
        <f t="shared" si="38"/>
        <v>0</v>
      </c>
      <c r="AJ52" s="387">
        <f t="shared" si="39"/>
        <v>780</v>
      </c>
      <c r="AK52" s="387">
        <f t="shared" si="40"/>
        <v>158.517</v>
      </c>
      <c r="AL52" s="387">
        <f t="shared" si="62"/>
        <v>0</v>
      </c>
      <c r="AM52" s="388">
        <f t="shared" si="63"/>
        <v>0</v>
      </c>
    </row>
    <row r="53" spans="1:41" s="429" customFormat="1" ht="25.5" x14ac:dyDescent="0.2">
      <c r="A53" s="380" t="s">
        <v>1132</v>
      </c>
      <c r="B53" s="381"/>
      <c r="C53" s="382"/>
      <c r="D53" s="382"/>
      <c r="E53" s="382">
        <v>95.828000000000003</v>
      </c>
      <c r="F53" s="382">
        <v>0</v>
      </c>
      <c r="G53" s="382"/>
      <c r="H53" s="382"/>
      <c r="I53" s="382">
        <v>2</v>
      </c>
      <c r="J53" s="382"/>
      <c r="K53" s="382"/>
      <c r="L53" s="382"/>
      <c r="M53" s="382"/>
      <c r="N53" s="382">
        <v>0</v>
      </c>
      <c r="O53" s="382"/>
      <c r="P53" s="382"/>
      <c r="Q53" s="382">
        <v>0</v>
      </c>
      <c r="R53" s="382">
        <v>0</v>
      </c>
      <c r="S53" s="382"/>
      <c r="T53" s="382"/>
      <c r="U53" s="382"/>
      <c r="V53" s="382">
        <v>0</v>
      </c>
      <c r="W53" s="382"/>
      <c r="X53" s="382"/>
      <c r="Y53" s="382"/>
      <c r="Z53" s="382">
        <v>0</v>
      </c>
      <c r="AA53" s="382"/>
      <c r="AB53" s="382"/>
      <c r="AC53" s="382">
        <v>0</v>
      </c>
      <c r="AD53" s="382">
        <v>0</v>
      </c>
      <c r="AE53" s="382"/>
      <c r="AF53" s="382"/>
      <c r="AG53" s="382"/>
      <c r="AH53" s="382">
        <v>0</v>
      </c>
      <c r="AI53" s="409">
        <f t="shared" si="38"/>
        <v>0</v>
      </c>
      <c r="AJ53" s="409">
        <f t="shared" si="39"/>
        <v>0</v>
      </c>
      <c r="AK53" s="409">
        <f t="shared" si="40"/>
        <v>97.828000000000003</v>
      </c>
      <c r="AL53" s="409">
        <f>F53+J53+N53+R53+V53+Z53+AD53+AH53</f>
        <v>0</v>
      </c>
      <c r="AM53" s="424">
        <f>J53+N53+R53+V53+Z53+AD53+AH53</f>
        <v>0</v>
      </c>
    </row>
    <row r="54" spans="1:41" s="398" customFormat="1" ht="25.5" hidden="1" x14ac:dyDescent="0.2">
      <c r="A54" s="391" t="s">
        <v>491</v>
      </c>
      <c r="B54" s="392"/>
      <c r="C54" s="393"/>
      <c r="D54" s="393"/>
      <c r="E54" s="393"/>
      <c r="F54" s="394"/>
      <c r="G54" s="395"/>
      <c r="H54" s="395"/>
      <c r="I54" s="395"/>
      <c r="J54" s="396"/>
      <c r="K54" s="396"/>
      <c r="L54" s="396"/>
      <c r="M54" s="396"/>
      <c r="N54" s="396"/>
      <c r="O54" s="396"/>
      <c r="P54" s="396"/>
      <c r="Q54" s="396"/>
      <c r="R54" s="397"/>
      <c r="S54" s="397"/>
      <c r="T54" s="397"/>
      <c r="U54" s="397"/>
      <c r="V54" s="397"/>
      <c r="W54" s="397"/>
      <c r="X54" s="397"/>
      <c r="Y54" s="397"/>
      <c r="Z54" s="397"/>
      <c r="AA54" s="397"/>
      <c r="AB54" s="397"/>
      <c r="AC54" s="397"/>
      <c r="AD54" s="397"/>
      <c r="AE54" s="397"/>
      <c r="AF54" s="397"/>
      <c r="AG54" s="397"/>
      <c r="AH54" s="397"/>
      <c r="AI54" s="387">
        <f t="shared" si="38"/>
        <v>0</v>
      </c>
      <c r="AJ54" s="387">
        <f t="shared" si="39"/>
        <v>0</v>
      </c>
      <c r="AK54" s="387">
        <f t="shared" si="40"/>
        <v>0</v>
      </c>
      <c r="AL54" s="387">
        <f t="shared" ref="AL54:AL57" si="64">F54+J54+N54+R54+V54+Z54+AD54+AH54</f>
        <v>0</v>
      </c>
      <c r="AM54" s="388">
        <f t="shared" ref="AM54:AM57" si="65">J54+N54+R54+V54+Z54+AD54+AH54</f>
        <v>0</v>
      </c>
    </row>
    <row r="55" spans="1:41" s="398" customFormat="1" ht="38.25" hidden="1" x14ac:dyDescent="0.2">
      <c r="A55" s="391" t="s">
        <v>492</v>
      </c>
      <c r="B55" s="392"/>
      <c r="C55" s="393"/>
      <c r="D55" s="393"/>
      <c r="E55" s="393"/>
      <c r="F55" s="394"/>
      <c r="G55" s="395"/>
      <c r="H55" s="395"/>
      <c r="I55" s="395"/>
      <c r="J55" s="396"/>
      <c r="K55" s="396"/>
      <c r="L55" s="396"/>
      <c r="M55" s="396"/>
      <c r="N55" s="396"/>
      <c r="O55" s="396"/>
      <c r="P55" s="396"/>
      <c r="Q55" s="396"/>
      <c r="R55" s="397"/>
      <c r="S55" s="397"/>
      <c r="T55" s="397"/>
      <c r="U55" s="397"/>
      <c r="V55" s="397"/>
      <c r="W55" s="397"/>
      <c r="X55" s="397"/>
      <c r="Y55" s="397"/>
      <c r="Z55" s="397"/>
      <c r="AA55" s="397"/>
      <c r="AB55" s="397"/>
      <c r="AC55" s="397"/>
      <c r="AD55" s="397"/>
      <c r="AE55" s="397"/>
      <c r="AF55" s="397"/>
      <c r="AG55" s="397"/>
      <c r="AH55" s="397"/>
      <c r="AI55" s="387">
        <f t="shared" si="38"/>
        <v>0</v>
      </c>
      <c r="AJ55" s="387">
        <f t="shared" si="39"/>
        <v>0</v>
      </c>
      <c r="AK55" s="387">
        <f t="shared" si="40"/>
        <v>0</v>
      </c>
      <c r="AL55" s="387">
        <f t="shared" si="64"/>
        <v>0</v>
      </c>
      <c r="AM55" s="388">
        <f t="shared" si="65"/>
        <v>0</v>
      </c>
    </row>
    <row r="56" spans="1:41" s="398" customFormat="1" ht="25.5" hidden="1" x14ac:dyDescent="0.2">
      <c r="A56" s="391" t="s">
        <v>493</v>
      </c>
      <c r="B56" s="392"/>
      <c r="C56" s="393"/>
      <c r="D56" s="393"/>
      <c r="E56" s="393"/>
      <c r="F56" s="394"/>
      <c r="G56" s="395"/>
      <c r="H56" s="395"/>
      <c r="I56" s="395"/>
      <c r="J56" s="396"/>
      <c r="K56" s="396"/>
      <c r="L56" s="396"/>
      <c r="M56" s="396"/>
      <c r="N56" s="396"/>
      <c r="O56" s="396"/>
      <c r="P56" s="396"/>
      <c r="Q56" s="396"/>
      <c r="R56" s="397"/>
      <c r="S56" s="397"/>
      <c r="T56" s="397"/>
      <c r="U56" s="397"/>
      <c r="V56" s="397"/>
      <c r="W56" s="397"/>
      <c r="X56" s="397"/>
      <c r="Y56" s="397"/>
      <c r="Z56" s="397"/>
      <c r="AA56" s="397"/>
      <c r="AB56" s="397"/>
      <c r="AC56" s="397"/>
      <c r="AD56" s="397"/>
      <c r="AE56" s="397"/>
      <c r="AF56" s="397"/>
      <c r="AG56" s="397"/>
      <c r="AH56" s="397"/>
      <c r="AI56" s="387">
        <f t="shared" si="38"/>
        <v>0</v>
      </c>
      <c r="AJ56" s="387">
        <f t="shared" si="39"/>
        <v>0</v>
      </c>
      <c r="AK56" s="387">
        <f t="shared" si="40"/>
        <v>0</v>
      </c>
      <c r="AL56" s="387">
        <f t="shared" si="64"/>
        <v>0</v>
      </c>
      <c r="AM56" s="388">
        <f t="shared" si="65"/>
        <v>0</v>
      </c>
    </row>
    <row r="57" spans="1:41" x14ac:dyDescent="0.2">
      <c r="A57" s="380" t="s">
        <v>494</v>
      </c>
      <c r="B57" s="381"/>
      <c r="C57" s="382">
        <v>20778</v>
      </c>
      <c r="D57" s="382">
        <f>20778+48</f>
        <v>20826</v>
      </c>
      <c r="E57" s="382">
        <v>14947.933999999999</v>
      </c>
      <c r="F57" s="383">
        <v>20778.400000000001</v>
      </c>
      <c r="G57" s="384">
        <v>6600</v>
      </c>
      <c r="H57" s="384">
        <v>6600</v>
      </c>
      <c r="I57" s="384">
        <v>3170.5259999999998</v>
      </c>
      <c r="J57" s="385">
        <v>6600</v>
      </c>
      <c r="K57" s="385"/>
      <c r="L57" s="385"/>
      <c r="M57" s="385"/>
      <c r="N57" s="386"/>
      <c r="O57" s="386">
        <v>14000</v>
      </c>
      <c r="P57" s="386">
        <v>14000</v>
      </c>
      <c r="Q57" s="386">
        <v>4895.652</v>
      </c>
      <c r="R57" s="386">
        <v>14000</v>
      </c>
      <c r="S57" s="386">
        <v>100</v>
      </c>
      <c r="T57" s="386">
        <v>100</v>
      </c>
      <c r="U57" s="386">
        <v>29.622</v>
      </c>
      <c r="V57" s="386">
        <v>100</v>
      </c>
      <c r="W57" s="386">
        <v>50</v>
      </c>
      <c r="X57" s="386">
        <v>50</v>
      </c>
      <c r="Y57" s="386">
        <v>30.629000000000001</v>
      </c>
      <c r="Z57" s="386">
        <v>50</v>
      </c>
      <c r="AA57" s="422">
        <v>150</v>
      </c>
      <c r="AB57" s="422">
        <v>150</v>
      </c>
      <c r="AC57" s="422">
        <v>80.459000000000003</v>
      </c>
      <c r="AD57" s="386">
        <v>150</v>
      </c>
      <c r="AE57" s="386">
        <v>100</v>
      </c>
      <c r="AF57" s="386">
        <v>100</v>
      </c>
      <c r="AG57" s="386"/>
      <c r="AH57" s="386">
        <v>100</v>
      </c>
      <c r="AI57" s="387">
        <f t="shared" si="38"/>
        <v>41778</v>
      </c>
      <c r="AJ57" s="387">
        <f t="shared" si="39"/>
        <v>41826</v>
      </c>
      <c r="AK57" s="387">
        <f t="shared" si="40"/>
        <v>23154.822</v>
      </c>
      <c r="AL57" s="387">
        <f t="shared" si="64"/>
        <v>41778.400000000001</v>
      </c>
      <c r="AM57" s="388">
        <f t="shared" si="65"/>
        <v>21000</v>
      </c>
    </row>
    <row r="58" spans="1:41" s="404" customFormat="1" ht="25.5" x14ac:dyDescent="0.25">
      <c r="A58" s="399" t="s">
        <v>1133</v>
      </c>
      <c r="B58" s="400"/>
      <c r="C58" s="402">
        <f>+C50+C51+C52+C53+C57</f>
        <v>862461</v>
      </c>
      <c r="D58" s="402">
        <f>+D50+D51+D52+D53+D57</f>
        <v>862509</v>
      </c>
      <c r="E58" s="402">
        <v>758628.89</v>
      </c>
      <c r="F58" s="402">
        <f>+F50+F51+F57</f>
        <v>862460.98400000005</v>
      </c>
      <c r="G58" s="402">
        <f t="shared" ref="G58:H58" si="66">+G50+G51+G52+G53+G57</f>
        <v>71038</v>
      </c>
      <c r="H58" s="402">
        <f t="shared" si="66"/>
        <v>71037</v>
      </c>
      <c r="I58" s="402">
        <v>61477.61</v>
      </c>
      <c r="J58" s="403">
        <v>71037.726999999999</v>
      </c>
      <c r="K58" s="402">
        <f t="shared" ref="K58:L58" si="67">+K50+K51+K52+K53+K57</f>
        <v>22667</v>
      </c>
      <c r="L58" s="402">
        <f t="shared" si="67"/>
        <v>22667</v>
      </c>
      <c r="M58" s="403">
        <v>19863.25</v>
      </c>
      <c r="N58" s="403">
        <v>22667</v>
      </c>
      <c r="O58" s="402">
        <f t="shared" ref="O58:P58" si="68">+O50+O51+O52+O53+O57</f>
        <v>596607</v>
      </c>
      <c r="P58" s="402">
        <f t="shared" si="68"/>
        <v>597387</v>
      </c>
      <c r="Q58" s="403">
        <v>278503.97899999999</v>
      </c>
      <c r="R58" s="403">
        <v>596607</v>
      </c>
      <c r="S58" s="402">
        <f t="shared" ref="S58:T58" si="69">+S50+S51+S52+S53+S57</f>
        <v>35929</v>
      </c>
      <c r="T58" s="402">
        <f t="shared" si="69"/>
        <v>35929</v>
      </c>
      <c r="U58" s="403">
        <v>35307.005000000005</v>
      </c>
      <c r="V58" s="403">
        <v>35929</v>
      </c>
      <c r="W58" s="402">
        <f t="shared" ref="W58:X58" si="70">+W50+W51+W52+W53+W57</f>
        <v>14135</v>
      </c>
      <c r="X58" s="402">
        <f t="shared" si="70"/>
        <v>14135</v>
      </c>
      <c r="Y58" s="403">
        <v>10985.402</v>
      </c>
      <c r="Z58" s="403">
        <v>14135</v>
      </c>
      <c r="AA58" s="402">
        <f t="shared" ref="AA58:AB58" si="71">+AA50+AA51+AA52+AA53+AA57</f>
        <v>24508</v>
      </c>
      <c r="AB58" s="402">
        <f t="shared" si="71"/>
        <v>24508</v>
      </c>
      <c r="AC58" s="403">
        <v>16886.514999999999</v>
      </c>
      <c r="AD58" s="403">
        <v>24508</v>
      </c>
      <c r="AE58" s="402">
        <f t="shared" ref="AE58:AF58" si="72">+AE50+AE51+AE52+AE53+AE57</f>
        <v>3937</v>
      </c>
      <c r="AF58" s="402">
        <f t="shared" si="72"/>
        <v>3937</v>
      </c>
      <c r="AG58" s="403">
        <v>2991.3339999999998</v>
      </c>
      <c r="AH58" s="403">
        <v>3937</v>
      </c>
      <c r="AI58" s="409">
        <f t="shared" si="38"/>
        <v>1631282</v>
      </c>
      <c r="AJ58" s="409">
        <f t="shared" si="39"/>
        <v>1632109</v>
      </c>
      <c r="AK58" s="409">
        <f t="shared" si="40"/>
        <v>1184643.9850000001</v>
      </c>
      <c r="AL58" s="409">
        <f>F58+J58+N58+R58+V58+Z58+AD58+AH58</f>
        <v>1631281.7110000001</v>
      </c>
      <c r="AM58" s="424">
        <f>J58+N58+R58+V58+Z58+AD58+AH58</f>
        <v>768820.72699999996</v>
      </c>
    </row>
    <row r="59" spans="1:41" s="404" customFormat="1" ht="20.25" customHeight="1" x14ac:dyDescent="0.25">
      <c r="A59" s="399" t="s">
        <v>1134</v>
      </c>
      <c r="B59" s="400" t="s">
        <v>103</v>
      </c>
      <c r="C59" s="407">
        <f>+C58+C49+C46+C36+C33</f>
        <v>2180129</v>
      </c>
      <c r="D59" s="407">
        <f>+D58+D49+D46+D36+D33</f>
        <v>2245322</v>
      </c>
      <c r="E59" s="407">
        <v>1588315.2380000001</v>
      </c>
      <c r="F59" s="407">
        <f>+F33+F36+F46+F49+F58</f>
        <v>2180128.9840000002</v>
      </c>
      <c r="G59" s="407">
        <f t="shared" ref="G59:H59" si="73">+G58+G49+G46+G36+G33</f>
        <v>310746</v>
      </c>
      <c r="H59" s="407">
        <f t="shared" si="73"/>
        <v>310745</v>
      </c>
      <c r="I59" s="407">
        <v>283033.43700000003</v>
      </c>
      <c r="J59" s="408">
        <v>310745.96099999995</v>
      </c>
      <c r="K59" s="407">
        <f t="shared" ref="K59:L59" si="74">+K58+K49+K46+K36+K33</f>
        <v>242401</v>
      </c>
      <c r="L59" s="407">
        <f t="shared" si="74"/>
        <v>242401</v>
      </c>
      <c r="M59" s="408">
        <v>242371.55600000004</v>
      </c>
      <c r="N59" s="408">
        <v>242401</v>
      </c>
      <c r="O59" s="407">
        <f t="shared" ref="O59:P59" si="75">+O58+O49+O46+O36+O33</f>
        <v>2421072</v>
      </c>
      <c r="P59" s="407">
        <f t="shared" si="75"/>
        <v>2421072</v>
      </c>
      <c r="Q59" s="408">
        <v>1588618.6290000002</v>
      </c>
      <c r="R59" s="408">
        <v>2421072</v>
      </c>
      <c r="S59" s="407">
        <f t="shared" ref="S59:T59" si="76">+S58+S49+S46+S36+S33</f>
        <v>163019</v>
      </c>
      <c r="T59" s="407">
        <f t="shared" si="76"/>
        <v>163019</v>
      </c>
      <c r="U59" s="408">
        <v>183263.96600000001</v>
      </c>
      <c r="V59" s="408">
        <v>163019</v>
      </c>
      <c r="W59" s="407">
        <f t="shared" ref="W59:X59" si="77">+W58+W49+W46+W36+W33</f>
        <v>62863</v>
      </c>
      <c r="X59" s="407">
        <f t="shared" si="77"/>
        <v>62863</v>
      </c>
      <c r="Y59" s="408">
        <v>60681.796999999999</v>
      </c>
      <c r="Z59" s="408">
        <v>62863</v>
      </c>
      <c r="AA59" s="407">
        <f t="shared" ref="AA59:AB59" si="78">+AA58+AA49+AA46+AA36+AA33</f>
        <v>102014</v>
      </c>
      <c r="AB59" s="407">
        <f t="shared" si="78"/>
        <v>102014</v>
      </c>
      <c r="AC59" s="408">
        <v>85887.526000000013</v>
      </c>
      <c r="AD59" s="408">
        <v>102014</v>
      </c>
      <c r="AE59" s="407">
        <f t="shared" ref="AE59:AF59" si="79">+AE58+AE49+AE46+AE36+AE33</f>
        <v>18323</v>
      </c>
      <c r="AF59" s="407">
        <f t="shared" si="79"/>
        <v>18323</v>
      </c>
      <c r="AG59" s="408">
        <v>15462.098000000002</v>
      </c>
      <c r="AH59" s="408">
        <v>18323</v>
      </c>
      <c r="AI59" s="409">
        <f t="shared" si="38"/>
        <v>5500567</v>
      </c>
      <c r="AJ59" s="409">
        <f t="shared" si="39"/>
        <v>5565759</v>
      </c>
      <c r="AK59" s="409">
        <f t="shared" si="40"/>
        <v>4047634.2470000004</v>
      </c>
      <c r="AL59" s="409">
        <f>F59+J59+N59+R59+V59+Z59+AD59+AH59</f>
        <v>5500566.9450000003</v>
      </c>
      <c r="AM59" s="388">
        <f>J59+N59+R59+V59+Z59+AD59+AH59</f>
        <v>3320437.9610000001</v>
      </c>
      <c r="AN59" s="400"/>
      <c r="AO59" s="400"/>
    </row>
    <row r="60" spans="1:41" s="437" customFormat="1" hidden="1" x14ac:dyDescent="0.25">
      <c r="A60" s="430" t="s">
        <v>495</v>
      </c>
      <c r="B60" s="431"/>
      <c r="C60" s="432"/>
      <c r="D60" s="432"/>
      <c r="E60" s="432"/>
      <c r="F60" s="433"/>
      <c r="G60" s="434"/>
      <c r="H60" s="434"/>
      <c r="I60" s="434"/>
      <c r="J60" s="435"/>
      <c r="K60" s="435"/>
      <c r="L60" s="435"/>
      <c r="M60" s="435"/>
      <c r="N60" s="435"/>
      <c r="O60" s="435"/>
      <c r="P60" s="435"/>
      <c r="Q60" s="435"/>
      <c r="R60" s="436"/>
      <c r="S60" s="436"/>
      <c r="T60" s="436"/>
      <c r="U60" s="436"/>
      <c r="V60" s="436"/>
      <c r="W60" s="436"/>
      <c r="X60" s="436"/>
      <c r="Y60" s="436"/>
      <c r="Z60" s="436"/>
      <c r="AA60" s="436"/>
      <c r="AB60" s="436"/>
      <c r="AC60" s="436"/>
      <c r="AD60" s="436"/>
      <c r="AE60" s="436"/>
      <c r="AF60" s="436"/>
      <c r="AG60" s="436"/>
      <c r="AH60" s="436"/>
      <c r="AI60" s="387">
        <f t="shared" si="38"/>
        <v>0</v>
      </c>
      <c r="AJ60" s="387">
        <f t="shared" si="39"/>
        <v>0</v>
      </c>
      <c r="AK60" s="387">
        <f t="shared" si="40"/>
        <v>0</v>
      </c>
      <c r="AL60" s="387">
        <f t="shared" ref="AL60" si="80">F60+J60+N60+R60+V60+Z60+AD60+AH60</f>
        <v>0</v>
      </c>
      <c r="AM60" s="388">
        <f t="shared" ref="AM60" si="81">J60+N60+R60+V60+Z60+AD60+AH60</f>
        <v>0</v>
      </c>
    </row>
    <row r="61" spans="1:41" s="404" customFormat="1" ht="13.5" x14ac:dyDescent="0.25">
      <c r="A61" s="399" t="s">
        <v>1135</v>
      </c>
      <c r="B61" s="400"/>
      <c r="C61" s="1052"/>
      <c r="D61" s="1052"/>
      <c r="E61" s="1052">
        <v>0</v>
      </c>
      <c r="F61" s="402">
        <v>0</v>
      </c>
      <c r="G61" s="480"/>
      <c r="H61" s="480"/>
      <c r="I61" s="480"/>
      <c r="J61" s="403">
        <v>0</v>
      </c>
      <c r="K61" s="403"/>
      <c r="L61" s="403"/>
      <c r="M61" s="403"/>
      <c r="N61" s="403">
        <v>0</v>
      </c>
      <c r="O61" s="403"/>
      <c r="P61" s="403"/>
      <c r="Q61" s="403"/>
      <c r="R61" s="403">
        <v>0</v>
      </c>
      <c r="S61" s="403"/>
      <c r="T61" s="403"/>
      <c r="U61" s="403"/>
      <c r="V61" s="403">
        <v>0</v>
      </c>
      <c r="W61" s="403"/>
      <c r="X61" s="403"/>
      <c r="Y61" s="403"/>
      <c r="Z61" s="403">
        <v>0</v>
      </c>
      <c r="AA61" s="403"/>
      <c r="AB61" s="403"/>
      <c r="AC61" s="403"/>
      <c r="AD61" s="403">
        <v>0</v>
      </c>
      <c r="AE61" s="403"/>
      <c r="AF61" s="403"/>
      <c r="AG61" s="403"/>
      <c r="AH61" s="403">
        <v>0</v>
      </c>
      <c r="AI61" s="409">
        <f t="shared" si="38"/>
        <v>0</v>
      </c>
      <c r="AJ61" s="409">
        <f t="shared" si="39"/>
        <v>0</v>
      </c>
      <c r="AK61" s="409">
        <f t="shared" si="40"/>
        <v>0</v>
      </c>
      <c r="AL61" s="409">
        <f>F61+J61+N61+R61+V61+Z61+AD61+AH61</f>
        <v>0</v>
      </c>
      <c r="AM61" s="424">
        <f>J61+N61+R61+V61+Z61+AD61+AH61</f>
        <v>0</v>
      </c>
    </row>
    <row r="62" spans="1:41" s="419" customFormat="1" hidden="1" x14ac:dyDescent="0.2">
      <c r="A62" s="391" t="s">
        <v>496</v>
      </c>
      <c r="B62" s="416"/>
      <c r="C62" s="417"/>
      <c r="D62" s="417"/>
      <c r="E62" s="417"/>
      <c r="F62" s="418"/>
      <c r="G62" s="414"/>
      <c r="H62" s="414"/>
      <c r="I62" s="414"/>
      <c r="J62" s="421"/>
      <c r="K62" s="421"/>
      <c r="L62" s="421"/>
      <c r="M62" s="421"/>
      <c r="N62" s="412"/>
      <c r="O62" s="412"/>
      <c r="P62" s="412"/>
      <c r="Q62" s="412"/>
      <c r="R62" s="412"/>
      <c r="S62" s="412"/>
      <c r="T62" s="412"/>
      <c r="U62" s="412"/>
      <c r="V62" s="412"/>
      <c r="W62" s="412"/>
      <c r="X62" s="412"/>
      <c r="Y62" s="412"/>
      <c r="Z62" s="412"/>
      <c r="AA62" s="412"/>
      <c r="AB62" s="412"/>
      <c r="AC62" s="412"/>
      <c r="AD62" s="412"/>
      <c r="AE62" s="412"/>
      <c r="AF62" s="412"/>
      <c r="AG62" s="412"/>
      <c r="AH62" s="412"/>
      <c r="AI62" s="387">
        <f t="shared" si="38"/>
        <v>0</v>
      </c>
      <c r="AJ62" s="387">
        <f t="shared" si="39"/>
        <v>0</v>
      </c>
      <c r="AK62" s="387">
        <f t="shared" si="40"/>
        <v>0</v>
      </c>
      <c r="AL62" s="387">
        <f t="shared" ref="AL62:AL72" si="82">F62+J62+N62+R62+V62+Z62+AD62+AH62</f>
        <v>0</v>
      </c>
      <c r="AM62" s="388">
        <f t="shared" ref="AM62:AM72" si="83">J62+N62+R62+V62+Z62+AD62+AH62</f>
        <v>0</v>
      </c>
    </row>
    <row r="63" spans="1:41" s="419" customFormat="1" hidden="1" x14ac:dyDescent="0.2">
      <c r="A63" s="391" t="s">
        <v>497</v>
      </c>
      <c r="B63" s="416"/>
      <c r="C63" s="417"/>
      <c r="D63" s="417"/>
      <c r="E63" s="417"/>
      <c r="F63" s="418"/>
      <c r="G63" s="414"/>
      <c r="H63" s="414"/>
      <c r="I63" s="414"/>
      <c r="J63" s="421"/>
      <c r="K63" s="421"/>
      <c r="L63" s="421"/>
      <c r="M63" s="421"/>
      <c r="N63" s="412"/>
      <c r="O63" s="412"/>
      <c r="P63" s="412"/>
      <c r="Q63" s="412"/>
      <c r="R63" s="412"/>
      <c r="S63" s="412"/>
      <c r="T63" s="412"/>
      <c r="U63" s="412"/>
      <c r="V63" s="412"/>
      <c r="W63" s="412"/>
      <c r="X63" s="412"/>
      <c r="Y63" s="412"/>
      <c r="Z63" s="412"/>
      <c r="AA63" s="412"/>
      <c r="AB63" s="412"/>
      <c r="AC63" s="412"/>
      <c r="AD63" s="412"/>
      <c r="AE63" s="412"/>
      <c r="AF63" s="412"/>
      <c r="AG63" s="412"/>
      <c r="AH63" s="412"/>
      <c r="AI63" s="387">
        <f t="shared" si="38"/>
        <v>0</v>
      </c>
      <c r="AJ63" s="387">
        <f t="shared" si="39"/>
        <v>0</v>
      </c>
      <c r="AK63" s="387">
        <f t="shared" si="40"/>
        <v>0</v>
      </c>
      <c r="AL63" s="387">
        <f t="shared" si="82"/>
        <v>0</v>
      </c>
      <c r="AM63" s="388">
        <f t="shared" si="83"/>
        <v>0</v>
      </c>
    </row>
    <row r="64" spans="1:41" s="419" customFormat="1" ht="25.5" hidden="1" x14ac:dyDescent="0.2">
      <c r="A64" s="391" t="s">
        <v>498</v>
      </c>
      <c r="B64" s="416"/>
      <c r="C64" s="417"/>
      <c r="D64" s="417"/>
      <c r="E64" s="417"/>
      <c r="F64" s="394"/>
      <c r="G64" s="395"/>
      <c r="H64" s="395"/>
      <c r="I64" s="395"/>
      <c r="J64" s="421"/>
      <c r="K64" s="421"/>
      <c r="L64" s="421"/>
      <c r="M64" s="421"/>
      <c r="N64" s="412"/>
      <c r="O64" s="412"/>
      <c r="P64" s="412"/>
      <c r="Q64" s="412"/>
      <c r="R64" s="412"/>
      <c r="S64" s="412"/>
      <c r="T64" s="412"/>
      <c r="U64" s="412"/>
      <c r="V64" s="412"/>
      <c r="W64" s="412"/>
      <c r="X64" s="412"/>
      <c r="Y64" s="412"/>
      <c r="Z64" s="412"/>
      <c r="AA64" s="412"/>
      <c r="AB64" s="412"/>
      <c r="AC64" s="412"/>
      <c r="AD64" s="412"/>
      <c r="AE64" s="412"/>
      <c r="AF64" s="412"/>
      <c r="AG64" s="412"/>
      <c r="AH64" s="412"/>
      <c r="AI64" s="387">
        <f t="shared" si="38"/>
        <v>0</v>
      </c>
      <c r="AJ64" s="387">
        <f t="shared" si="39"/>
        <v>0</v>
      </c>
      <c r="AK64" s="387">
        <f t="shared" si="40"/>
        <v>0</v>
      </c>
      <c r="AL64" s="387">
        <f t="shared" si="82"/>
        <v>0</v>
      </c>
      <c r="AM64" s="388">
        <f t="shared" si="83"/>
        <v>0</v>
      </c>
    </row>
    <row r="65" spans="1:39" s="419" customFormat="1" ht="25.5" hidden="1" x14ac:dyDescent="0.2">
      <c r="A65" s="391" t="s">
        <v>499</v>
      </c>
      <c r="B65" s="416"/>
      <c r="C65" s="417"/>
      <c r="D65" s="417"/>
      <c r="E65" s="417"/>
      <c r="F65" s="394"/>
      <c r="G65" s="395"/>
      <c r="H65" s="395"/>
      <c r="I65" s="395"/>
      <c r="J65" s="421"/>
      <c r="K65" s="421"/>
      <c r="L65" s="421"/>
      <c r="M65" s="421"/>
      <c r="N65" s="412"/>
      <c r="O65" s="412"/>
      <c r="P65" s="412"/>
      <c r="Q65" s="412"/>
      <c r="R65" s="412"/>
      <c r="S65" s="412"/>
      <c r="T65" s="412"/>
      <c r="U65" s="412"/>
      <c r="V65" s="412"/>
      <c r="W65" s="412"/>
      <c r="X65" s="412"/>
      <c r="Y65" s="412"/>
      <c r="Z65" s="412"/>
      <c r="AA65" s="412"/>
      <c r="AB65" s="412"/>
      <c r="AC65" s="412"/>
      <c r="AD65" s="412"/>
      <c r="AE65" s="412"/>
      <c r="AF65" s="412"/>
      <c r="AG65" s="412"/>
      <c r="AH65" s="412"/>
      <c r="AI65" s="387">
        <f t="shared" si="38"/>
        <v>0</v>
      </c>
      <c r="AJ65" s="387">
        <f t="shared" si="39"/>
        <v>0</v>
      </c>
      <c r="AK65" s="387">
        <f t="shared" si="40"/>
        <v>0</v>
      </c>
      <c r="AL65" s="387">
        <f t="shared" si="82"/>
        <v>0</v>
      </c>
      <c r="AM65" s="388">
        <f t="shared" si="83"/>
        <v>0</v>
      </c>
    </row>
    <row r="66" spans="1:39" s="419" customFormat="1" ht="38.25" hidden="1" x14ac:dyDescent="0.2">
      <c r="A66" s="391" t="s">
        <v>500</v>
      </c>
      <c r="B66" s="416"/>
      <c r="C66" s="417"/>
      <c r="D66" s="417"/>
      <c r="E66" s="417"/>
      <c r="F66" s="394"/>
      <c r="G66" s="395"/>
      <c r="H66" s="395"/>
      <c r="I66" s="395"/>
      <c r="J66" s="421"/>
      <c r="K66" s="421"/>
      <c r="L66" s="421"/>
      <c r="M66" s="421"/>
      <c r="N66" s="412">
        <v>0</v>
      </c>
      <c r="O66" s="412"/>
      <c r="P66" s="412"/>
      <c r="Q66" s="412"/>
      <c r="R66" s="412"/>
      <c r="S66" s="412"/>
      <c r="T66" s="412"/>
      <c r="U66" s="412"/>
      <c r="V66" s="412"/>
      <c r="W66" s="412"/>
      <c r="X66" s="412"/>
      <c r="Y66" s="412"/>
      <c r="Z66" s="412"/>
      <c r="AA66" s="412"/>
      <c r="AB66" s="412"/>
      <c r="AC66" s="412"/>
      <c r="AD66" s="412"/>
      <c r="AE66" s="412"/>
      <c r="AF66" s="412"/>
      <c r="AG66" s="412"/>
      <c r="AH66" s="412"/>
      <c r="AI66" s="387">
        <f t="shared" si="38"/>
        <v>0</v>
      </c>
      <c r="AJ66" s="387">
        <f t="shared" si="39"/>
        <v>0</v>
      </c>
      <c r="AK66" s="387">
        <f t="shared" si="40"/>
        <v>0</v>
      </c>
      <c r="AL66" s="387">
        <f t="shared" si="82"/>
        <v>0</v>
      </c>
      <c r="AM66" s="388">
        <f t="shared" si="83"/>
        <v>0</v>
      </c>
    </row>
    <row r="67" spans="1:39" s="419" customFormat="1" hidden="1" x14ac:dyDescent="0.2">
      <c r="A67" s="391" t="s">
        <v>501</v>
      </c>
      <c r="B67" s="416"/>
      <c r="C67" s="417"/>
      <c r="D67" s="417"/>
      <c r="E67" s="417"/>
      <c r="F67" s="418"/>
      <c r="G67" s="414"/>
      <c r="H67" s="414"/>
      <c r="I67" s="414"/>
      <c r="J67" s="421"/>
      <c r="K67" s="421"/>
      <c r="L67" s="421"/>
      <c r="M67" s="421"/>
      <c r="N67" s="412"/>
      <c r="O67" s="412"/>
      <c r="P67" s="412"/>
      <c r="Q67" s="412"/>
      <c r="R67" s="412"/>
      <c r="S67" s="412"/>
      <c r="T67" s="412"/>
      <c r="U67" s="412"/>
      <c r="V67" s="412"/>
      <c r="W67" s="412"/>
      <c r="X67" s="412"/>
      <c r="Y67" s="412"/>
      <c r="Z67" s="412"/>
      <c r="AA67" s="412"/>
      <c r="AB67" s="412"/>
      <c r="AC67" s="412"/>
      <c r="AD67" s="412"/>
      <c r="AE67" s="412"/>
      <c r="AF67" s="412"/>
      <c r="AG67" s="412"/>
      <c r="AH67" s="412"/>
      <c r="AI67" s="387">
        <f t="shared" si="38"/>
        <v>0</v>
      </c>
      <c r="AJ67" s="387">
        <f t="shared" si="39"/>
        <v>0</v>
      </c>
      <c r="AK67" s="387">
        <f t="shared" si="40"/>
        <v>0</v>
      </c>
      <c r="AL67" s="387">
        <f t="shared" si="82"/>
        <v>0</v>
      </c>
      <c r="AM67" s="388">
        <f t="shared" si="83"/>
        <v>0</v>
      </c>
    </row>
    <row r="68" spans="1:39" s="419" customFormat="1" ht="25.5" hidden="1" x14ac:dyDescent="0.2">
      <c r="A68" s="391" t="s">
        <v>502</v>
      </c>
      <c r="B68" s="416"/>
      <c r="C68" s="417"/>
      <c r="D68" s="417"/>
      <c r="E68" s="417"/>
      <c r="F68" s="394"/>
      <c r="G68" s="395"/>
      <c r="H68" s="395"/>
      <c r="I68" s="395"/>
      <c r="J68" s="421"/>
      <c r="K68" s="421"/>
      <c r="L68" s="421"/>
      <c r="M68" s="421"/>
      <c r="N68" s="412"/>
      <c r="O68" s="412"/>
      <c r="P68" s="412"/>
      <c r="Q68" s="412"/>
      <c r="R68" s="412"/>
      <c r="S68" s="412"/>
      <c r="T68" s="412"/>
      <c r="U68" s="412"/>
      <c r="V68" s="412"/>
      <c r="W68" s="412"/>
      <c r="X68" s="412"/>
      <c r="Y68" s="412"/>
      <c r="Z68" s="412"/>
      <c r="AA68" s="412"/>
      <c r="AB68" s="412"/>
      <c r="AC68" s="412"/>
      <c r="AD68" s="412"/>
      <c r="AE68" s="412"/>
      <c r="AF68" s="412"/>
      <c r="AG68" s="412"/>
      <c r="AH68" s="412"/>
      <c r="AI68" s="387">
        <f t="shared" si="38"/>
        <v>0</v>
      </c>
      <c r="AJ68" s="387">
        <f t="shared" si="39"/>
        <v>0</v>
      </c>
      <c r="AK68" s="387">
        <f t="shared" si="40"/>
        <v>0</v>
      </c>
      <c r="AL68" s="387">
        <f t="shared" si="82"/>
        <v>0</v>
      </c>
      <c r="AM68" s="388">
        <f t="shared" si="83"/>
        <v>0</v>
      </c>
    </row>
    <row r="69" spans="1:39" s="419" customFormat="1" ht="25.5" hidden="1" x14ac:dyDescent="0.2">
      <c r="A69" s="391" t="s">
        <v>503</v>
      </c>
      <c r="B69" s="416"/>
      <c r="C69" s="417"/>
      <c r="D69" s="417"/>
      <c r="E69" s="417"/>
      <c r="F69" s="394"/>
      <c r="G69" s="395"/>
      <c r="H69" s="395"/>
      <c r="I69" s="395"/>
      <c r="J69" s="421"/>
      <c r="K69" s="421"/>
      <c r="L69" s="421"/>
      <c r="M69" s="421"/>
      <c r="N69" s="412"/>
      <c r="O69" s="412"/>
      <c r="P69" s="412"/>
      <c r="Q69" s="412"/>
      <c r="R69" s="412"/>
      <c r="S69" s="412"/>
      <c r="T69" s="412"/>
      <c r="U69" s="412"/>
      <c r="V69" s="412"/>
      <c r="W69" s="412"/>
      <c r="X69" s="412"/>
      <c r="Y69" s="412"/>
      <c r="Z69" s="412"/>
      <c r="AA69" s="412"/>
      <c r="AB69" s="412"/>
      <c r="AC69" s="412"/>
      <c r="AD69" s="412"/>
      <c r="AE69" s="412"/>
      <c r="AF69" s="412"/>
      <c r="AG69" s="412"/>
      <c r="AH69" s="412"/>
      <c r="AI69" s="387">
        <f t="shared" si="38"/>
        <v>0</v>
      </c>
      <c r="AJ69" s="387">
        <f t="shared" si="39"/>
        <v>0</v>
      </c>
      <c r="AK69" s="387">
        <f t="shared" si="40"/>
        <v>0</v>
      </c>
      <c r="AL69" s="387">
        <f t="shared" si="82"/>
        <v>0</v>
      </c>
      <c r="AM69" s="388">
        <f t="shared" si="83"/>
        <v>0</v>
      </c>
    </row>
    <row r="70" spans="1:39" s="419" customFormat="1" ht="38.25" hidden="1" x14ac:dyDescent="0.2">
      <c r="A70" s="391" t="s">
        <v>504</v>
      </c>
      <c r="B70" s="416"/>
      <c r="C70" s="417"/>
      <c r="D70" s="417"/>
      <c r="E70" s="417"/>
      <c r="F70" s="394"/>
      <c r="G70" s="395"/>
      <c r="H70" s="395"/>
      <c r="I70" s="395"/>
      <c r="J70" s="421"/>
      <c r="K70" s="421"/>
      <c r="L70" s="421"/>
      <c r="M70" s="421"/>
      <c r="N70" s="412"/>
      <c r="O70" s="412"/>
      <c r="P70" s="412"/>
      <c r="Q70" s="412"/>
      <c r="R70" s="412"/>
      <c r="S70" s="412"/>
      <c r="T70" s="412"/>
      <c r="U70" s="412"/>
      <c r="V70" s="412"/>
      <c r="W70" s="412"/>
      <c r="X70" s="412"/>
      <c r="Y70" s="412"/>
      <c r="Z70" s="412"/>
      <c r="AA70" s="412"/>
      <c r="AB70" s="412"/>
      <c r="AC70" s="412"/>
      <c r="AD70" s="412"/>
      <c r="AE70" s="412"/>
      <c r="AF70" s="412"/>
      <c r="AG70" s="412"/>
      <c r="AH70" s="412"/>
      <c r="AI70" s="387">
        <f t="shared" si="38"/>
        <v>0</v>
      </c>
      <c r="AJ70" s="387">
        <f t="shared" si="39"/>
        <v>0</v>
      </c>
      <c r="AK70" s="387">
        <f t="shared" si="40"/>
        <v>0</v>
      </c>
      <c r="AL70" s="387">
        <f t="shared" si="82"/>
        <v>0</v>
      </c>
      <c r="AM70" s="388">
        <f t="shared" si="83"/>
        <v>0</v>
      </c>
    </row>
    <row r="71" spans="1:39" s="439" customFormat="1" ht="43.5" hidden="1" customHeight="1" x14ac:dyDescent="0.25">
      <c r="A71" s="391" t="s">
        <v>505</v>
      </c>
      <c r="B71" s="438"/>
      <c r="C71" s="393"/>
      <c r="D71" s="393"/>
      <c r="E71" s="393"/>
      <c r="F71" s="418"/>
      <c r="G71" s="414"/>
      <c r="H71" s="414"/>
      <c r="I71" s="414"/>
      <c r="J71" s="421"/>
      <c r="K71" s="421"/>
      <c r="L71" s="421"/>
      <c r="M71" s="421"/>
      <c r="N71" s="412"/>
      <c r="O71" s="412"/>
      <c r="P71" s="412"/>
      <c r="Q71" s="412"/>
      <c r="R71" s="412"/>
      <c r="S71" s="412"/>
      <c r="T71" s="412"/>
      <c r="U71" s="412"/>
      <c r="V71" s="412"/>
      <c r="W71" s="412"/>
      <c r="X71" s="412"/>
      <c r="Y71" s="412"/>
      <c r="Z71" s="412"/>
      <c r="AA71" s="412"/>
      <c r="AB71" s="412"/>
      <c r="AC71" s="412"/>
      <c r="AD71" s="412"/>
      <c r="AE71" s="412"/>
      <c r="AF71" s="412"/>
      <c r="AG71" s="412"/>
      <c r="AH71" s="412"/>
      <c r="AI71" s="387">
        <f t="shared" si="38"/>
        <v>0</v>
      </c>
      <c r="AJ71" s="387">
        <f t="shared" si="39"/>
        <v>0</v>
      </c>
      <c r="AK71" s="387">
        <f t="shared" si="40"/>
        <v>0</v>
      </c>
      <c r="AL71" s="387">
        <f t="shared" si="82"/>
        <v>0</v>
      </c>
      <c r="AM71" s="388">
        <f t="shared" si="83"/>
        <v>0</v>
      </c>
    </row>
    <row r="72" spans="1:39" s="444" customFormat="1" ht="25.5" hidden="1" x14ac:dyDescent="0.2">
      <c r="A72" s="430" t="s">
        <v>506</v>
      </c>
      <c r="B72" s="431"/>
      <c r="C72" s="483"/>
      <c r="D72" s="483"/>
      <c r="E72" s="483"/>
      <c r="F72" s="440"/>
      <c r="G72" s="441"/>
      <c r="H72" s="441"/>
      <c r="I72" s="441"/>
      <c r="J72" s="1054"/>
      <c r="K72" s="1054"/>
      <c r="L72" s="1054"/>
      <c r="M72" s="1054"/>
      <c r="N72" s="487"/>
      <c r="O72" s="487"/>
      <c r="P72" s="487"/>
      <c r="Q72" s="487"/>
      <c r="R72" s="487"/>
      <c r="S72" s="487"/>
      <c r="T72" s="487"/>
      <c r="U72" s="487"/>
      <c r="V72" s="487"/>
      <c r="W72" s="487"/>
      <c r="X72" s="487"/>
      <c r="Y72" s="487"/>
      <c r="Z72" s="487"/>
      <c r="AA72" s="487"/>
      <c r="AB72" s="487"/>
      <c r="AC72" s="487"/>
      <c r="AD72" s="487"/>
      <c r="AE72" s="487"/>
      <c r="AF72" s="487"/>
      <c r="AG72" s="487"/>
      <c r="AH72" s="487"/>
      <c r="AI72" s="387">
        <f t="shared" si="38"/>
        <v>0</v>
      </c>
      <c r="AJ72" s="387">
        <f t="shared" si="39"/>
        <v>0</v>
      </c>
      <c r="AK72" s="387">
        <f t="shared" si="40"/>
        <v>0</v>
      </c>
      <c r="AL72" s="387">
        <f t="shared" si="82"/>
        <v>0</v>
      </c>
      <c r="AM72" s="388">
        <f t="shared" si="83"/>
        <v>0</v>
      </c>
    </row>
    <row r="73" spans="1:39" s="445" customFormat="1" ht="38.25" hidden="1" x14ac:dyDescent="0.2">
      <c r="A73" s="399" t="s">
        <v>507</v>
      </c>
      <c r="B73" s="400"/>
      <c r="C73" s="1052"/>
      <c r="D73" s="1052"/>
      <c r="E73" s="1052"/>
      <c r="F73" s="402">
        <v>0</v>
      </c>
      <c r="G73" s="480"/>
      <c r="H73" s="480"/>
      <c r="I73" s="480"/>
      <c r="J73" s="447">
        <v>0</v>
      </c>
      <c r="K73" s="447"/>
      <c r="L73" s="447"/>
      <c r="M73" s="447"/>
      <c r="N73" s="447">
        <v>0</v>
      </c>
      <c r="O73" s="447"/>
      <c r="P73" s="447"/>
      <c r="Q73" s="447"/>
      <c r="R73" s="447">
        <v>0</v>
      </c>
      <c r="S73" s="447"/>
      <c r="T73" s="447"/>
      <c r="U73" s="447"/>
      <c r="V73" s="447">
        <v>0</v>
      </c>
      <c r="W73" s="447"/>
      <c r="X73" s="447"/>
      <c r="Y73" s="447"/>
      <c r="Z73" s="447">
        <v>0</v>
      </c>
      <c r="AA73" s="447"/>
      <c r="AB73" s="447"/>
      <c r="AC73" s="447"/>
      <c r="AD73" s="447">
        <v>0</v>
      </c>
      <c r="AE73" s="447"/>
      <c r="AF73" s="447"/>
      <c r="AG73" s="447"/>
      <c r="AH73" s="447">
        <v>0</v>
      </c>
      <c r="AI73" s="409">
        <f t="shared" si="38"/>
        <v>0</v>
      </c>
      <c r="AJ73" s="409">
        <f t="shared" si="39"/>
        <v>0</v>
      </c>
      <c r="AK73" s="409">
        <f t="shared" si="40"/>
        <v>0</v>
      </c>
      <c r="AL73" s="409">
        <f>F73+J73+N73+R73+V73+Z73+AD73+AH73</f>
        <v>0</v>
      </c>
      <c r="AM73" s="424">
        <f>J73+N73+R73+V73+Z73+AD73+AH73</f>
        <v>0</v>
      </c>
    </row>
    <row r="74" spans="1:39" s="419" customFormat="1" hidden="1" x14ac:dyDescent="0.2">
      <c r="A74" s="391" t="s">
        <v>508</v>
      </c>
      <c r="B74" s="416"/>
      <c r="C74" s="417"/>
      <c r="D74" s="417"/>
      <c r="E74" s="417"/>
      <c r="F74" s="418"/>
      <c r="G74" s="414"/>
      <c r="H74" s="414"/>
      <c r="I74" s="414"/>
      <c r="J74" s="421"/>
      <c r="K74" s="421"/>
      <c r="L74" s="421"/>
      <c r="M74" s="421"/>
      <c r="N74" s="412"/>
      <c r="O74" s="412"/>
      <c r="P74" s="412"/>
      <c r="Q74" s="412"/>
      <c r="R74" s="412"/>
      <c r="S74" s="412"/>
      <c r="T74" s="412"/>
      <c r="U74" s="412"/>
      <c r="V74" s="412"/>
      <c r="W74" s="412"/>
      <c r="X74" s="412"/>
      <c r="Y74" s="412"/>
      <c r="Z74" s="412"/>
      <c r="AA74" s="412"/>
      <c r="AB74" s="412"/>
      <c r="AC74" s="412"/>
      <c r="AD74" s="412"/>
      <c r="AE74" s="412"/>
      <c r="AF74" s="412"/>
      <c r="AG74" s="412"/>
      <c r="AH74" s="412"/>
      <c r="AI74" s="387">
        <f t="shared" si="38"/>
        <v>0</v>
      </c>
      <c r="AJ74" s="387">
        <f t="shared" si="39"/>
        <v>0</v>
      </c>
      <c r="AK74" s="387">
        <f t="shared" si="40"/>
        <v>0</v>
      </c>
      <c r="AL74" s="387">
        <f t="shared" ref="AL74:AL83" si="84">F74+J74+N74+R74+V74+Z74+AD74+AH74</f>
        <v>0</v>
      </c>
      <c r="AM74" s="388">
        <f t="shared" ref="AM74:AM83" si="85">J74+N74+R74+V74+Z74+AD74+AH74</f>
        <v>0</v>
      </c>
    </row>
    <row r="75" spans="1:39" s="419" customFormat="1" ht="25.5" hidden="1" x14ac:dyDescent="0.2">
      <c r="A75" s="391" t="s">
        <v>509</v>
      </c>
      <c r="B75" s="416"/>
      <c r="C75" s="417"/>
      <c r="D75" s="417"/>
      <c r="E75" s="417"/>
      <c r="F75" s="418"/>
      <c r="G75" s="414"/>
      <c r="H75" s="414"/>
      <c r="I75" s="414"/>
      <c r="J75" s="421"/>
      <c r="K75" s="421"/>
      <c r="L75" s="421"/>
      <c r="M75" s="421"/>
      <c r="N75" s="412"/>
      <c r="O75" s="412"/>
      <c r="P75" s="412"/>
      <c r="Q75" s="412"/>
      <c r="R75" s="412"/>
      <c r="S75" s="412"/>
      <c r="T75" s="412"/>
      <c r="U75" s="412"/>
      <c r="V75" s="412"/>
      <c r="W75" s="412"/>
      <c r="X75" s="412"/>
      <c r="Y75" s="412"/>
      <c r="Z75" s="412"/>
      <c r="AA75" s="412"/>
      <c r="AB75" s="412"/>
      <c r="AC75" s="412"/>
      <c r="AD75" s="412"/>
      <c r="AE75" s="412"/>
      <c r="AF75" s="412"/>
      <c r="AG75" s="412"/>
      <c r="AH75" s="412"/>
      <c r="AI75" s="387">
        <f t="shared" si="38"/>
        <v>0</v>
      </c>
      <c r="AJ75" s="387">
        <f t="shared" si="39"/>
        <v>0</v>
      </c>
      <c r="AK75" s="387">
        <f t="shared" si="40"/>
        <v>0</v>
      </c>
      <c r="AL75" s="387">
        <f t="shared" si="84"/>
        <v>0</v>
      </c>
      <c r="AM75" s="388">
        <f t="shared" si="85"/>
        <v>0</v>
      </c>
    </row>
    <row r="76" spans="1:39" s="419" customFormat="1" ht="25.5" hidden="1" x14ac:dyDescent="0.2">
      <c r="A76" s="391" t="s">
        <v>510</v>
      </c>
      <c r="B76" s="416"/>
      <c r="C76" s="417"/>
      <c r="D76" s="417"/>
      <c r="E76" s="417"/>
      <c r="F76" s="394"/>
      <c r="G76" s="395"/>
      <c r="H76" s="395"/>
      <c r="I76" s="395"/>
      <c r="J76" s="446"/>
      <c r="K76" s="446"/>
      <c r="L76" s="446"/>
      <c r="M76" s="446"/>
      <c r="N76" s="446"/>
      <c r="O76" s="446"/>
      <c r="P76" s="446"/>
      <c r="Q76" s="446"/>
      <c r="R76" s="412"/>
      <c r="S76" s="412"/>
      <c r="T76" s="412"/>
      <c r="U76" s="412"/>
      <c r="V76" s="412"/>
      <c r="W76" s="412"/>
      <c r="X76" s="412"/>
      <c r="Y76" s="412"/>
      <c r="Z76" s="412"/>
      <c r="AA76" s="412"/>
      <c r="AB76" s="412"/>
      <c r="AC76" s="412"/>
      <c r="AD76" s="412"/>
      <c r="AE76" s="412"/>
      <c r="AF76" s="412"/>
      <c r="AG76" s="412"/>
      <c r="AH76" s="412"/>
      <c r="AI76" s="387">
        <f t="shared" si="38"/>
        <v>0</v>
      </c>
      <c r="AJ76" s="387">
        <f t="shared" si="39"/>
        <v>0</v>
      </c>
      <c r="AK76" s="387">
        <f t="shared" si="40"/>
        <v>0</v>
      </c>
      <c r="AL76" s="387">
        <f t="shared" si="84"/>
        <v>0</v>
      </c>
      <c r="AM76" s="388">
        <f t="shared" si="85"/>
        <v>0</v>
      </c>
    </row>
    <row r="77" spans="1:39" s="419" customFormat="1" ht="25.5" hidden="1" x14ac:dyDescent="0.2">
      <c r="A77" s="391" t="s">
        <v>511</v>
      </c>
      <c r="B77" s="416"/>
      <c r="C77" s="417"/>
      <c r="D77" s="417"/>
      <c r="E77" s="417"/>
      <c r="F77" s="418"/>
      <c r="G77" s="414"/>
      <c r="H77" s="414"/>
      <c r="I77" s="414"/>
      <c r="J77" s="421"/>
      <c r="K77" s="421"/>
      <c r="L77" s="421"/>
      <c r="M77" s="421"/>
      <c r="N77" s="412"/>
      <c r="O77" s="412"/>
      <c r="P77" s="412"/>
      <c r="Q77" s="412"/>
      <c r="R77" s="412"/>
      <c r="S77" s="412"/>
      <c r="T77" s="412"/>
      <c r="U77" s="412"/>
      <c r="V77" s="412"/>
      <c r="W77" s="412"/>
      <c r="X77" s="412"/>
      <c r="Y77" s="412"/>
      <c r="Z77" s="412"/>
      <c r="AA77" s="412"/>
      <c r="AB77" s="412"/>
      <c r="AC77" s="412"/>
      <c r="AD77" s="412"/>
      <c r="AE77" s="412"/>
      <c r="AF77" s="412"/>
      <c r="AG77" s="412"/>
      <c r="AH77" s="412"/>
      <c r="AI77" s="387">
        <f t="shared" si="38"/>
        <v>0</v>
      </c>
      <c r="AJ77" s="387">
        <f t="shared" si="39"/>
        <v>0</v>
      </c>
      <c r="AK77" s="387">
        <f t="shared" si="40"/>
        <v>0</v>
      </c>
      <c r="AL77" s="387">
        <f t="shared" si="84"/>
        <v>0</v>
      </c>
      <c r="AM77" s="388">
        <f t="shared" si="85"/>
        <v>0</v>
      </c>
    </row>
    <row r="78" spans="1:39" s="419" customFormat="1" ht="51" hidden="1" x14ac:dyDescent="0.2">
      <c r="A78" s="391" t="s">
        <v>512</v>
      </c>
      <c r="B78" s="416"/>
      <c r="C78" s="417"/>
      <c r="D78" s="417"/>
      <c r="E78" s="417"/>
      <c r="F78" s="418"/>
      <c r="G78" s="414"/>
      <c r="H78" s="414"/>
      <c r="I78" s="414"/>
      <c r="J78" s="421"/>
      <c r="K78" s="421"/>
      <c r="L78" s="421"/>
      <c r="M78" s="421"/>
      <c r="N78" s="412"/>
      <c r="O78" s="412"/>
      <c r="P78" s="412"/>
      <c r="Q78" s="412"/>
      <c r="R78" s="412"/>
      <c r="S78" s="412"/>
      <c r="T78" s="412"/>
      <c r="U78" s="412"/>
      <c r="V78" s="412"/>
      <c r="W78" s="412"/>
      <c r="X78" s="412"/>
      <c r="Y78" s="412"/>
      <c r="Z78" s="412"/>
      <c r="AA78" s="412"/>
      <c r="AB78" s="412"/>
      <c r="AC78" s="412"/>
      <c r="AD78" s="412"/>
      <c r="AE78" s="412"/>
      <c r="AF78" s="412"/>
      <c r="AG78" s="412"/>
      <c r="AH78" s="412"/>
      <c r="AI78" s="387">
        <f t="shared" si="38"/>
        <v>0</v>
      </c>
      <c r="AJ78" s="387">
        <f t="shared" si="39"/>
        <v>0</v>
      </c>
      <c r="AK78" s="387">
        <f t="shared" si="40"/>
        <v>0</v>
      </c>
      <c r="AL78" s="387">
        <f t="shared" si="84"/>
        <v>0</v>
      </c>
      <c r="AM78" s="388">
        <f t="shared" si="85"/>
        <v>0</v>
      </c>
    </row>
    <row r="79" spans="1:39" s="419" customFormat="1" ht="25.5" hidden="1" x14ac:dyDescent="0.2">
      <c r="A79" s="391" t="s">
        <v>513</v>
      </c>
      <c r="B79" s="416"/>
      <c r="C79" s="417"/>
      <c r="D79" s="417"/>
      <c r="E79" s="417"/>
      <c r="F79" s="418"/>
      <c r="G79" s="414"/>
      <c r="H79" s="414"/>
      <c r="I79" s="414"/>
      <c r="J79" s="421"/>
      <c r="K79" s="421"/>
      <c r="L79" s="421"/>
      <c r="M79" s="421"/>
      <c r="N79" s="412"/>
      <c r="O79" s="412"/>
      <c r="P79" s="412"/>
      <c r="Q79" s="412"/>
      <c r="R79" s="412"/>
      <c r="S79" s="412"/>
      <c r="T79" s="412"/>
      <c r="U79" s="412"/>
      <c r="V79" s="412"/>
      <c r="W79" s="412"/>
      <c r="X79" s="412"/>
      <c r="Y79" s="412"/>
      <c r="Z79" s="412"/>
      <c r="AA79" s="412"/>
      <c r="AB79" s="412"/>
      <c r="AC79" s="412"/>
      <c r="AD79" s="412"/>
      <c r="AE79" s="412"/>
      <c r="AF79" s="412"/>
      <c r="AG79" s="412"/>
      <c r="AH79" s="412"/>
      <c r="AI79" s="387">
        <f t="shared" si="38"/>
        <v>0</v>
      </c>
      <c r="AJ79" s="387">
        <f t="shared" si="39"/>
        <v>0</v>
      </c>
      <c r="AK79" s="387">
        <f t="shared" si="40"/>
        <v>0</v>
      </c>
      <c r="AL79" s="387">
        <f t="shared" si="84"/>
        <v>0</v>
      </c>
      <c r="AM79" s="388">
        <f t="shared" si="85"/>
        <v>0</v>
      </c>
    </row>
    <row r="80" spans="1:39" s="419" customFormat="1" ht="25.5" hidden="1" x14ac:dyDescent="0.2">
      <c r="A80" s="391" t="s">
        <v>514</v>
      </c>
      <c r="B80" s="416"/>
      <c r="C80" s="417"/>
      <c r="D80" s="417"/>
      <c r="E80" s="417"/>
      <c r="F80" s="418"/>
      <c r="G80" s="414"/>
      <c r="H80" s="414"/>
      <c r="I80" s="414"/>
      <c r="J80" s="421"/>
      <c r="K80" s="421"/>
      <c r="L80" s="421"/>
      <c r="M80" s="421"/>
      <c r="N80" s="412"/>
      <c r="O80" s="412"/>
      <c r="P80" s="412"/>
      <c r="Q80" s="412"/>
      <c r="R80" s="412"/>
      <c r="S80" s="412"/>
      <c r="T80" s="412"/>
      <c r="U80" s="412"/>
      <c r="V80" s="412"/>
      <c r="W80" s="412"/>
      <c r="X80" s="412"/>
      <c r="Y80" s="412"/>
      <c r="Z80" s="412"/>
      <c r="AA80" s="412"/>
      <c r="AB80" s="412"/>
      <c r="AC80" s="412"/>
      <c r="AD80" s="412"/>
      <c r="AE80" s="412"/>
      <c r="AF80" s="412"/>
      <c r="AG80" s="412"/>
      <c r="AH80" s="412"/>
      <c r="AI80" s="387">
        <f t="shared" si="38"/>
        <v>0</v>
      </c>
      <c r="AJ80" s="387">
        <f t="shared" si="39"/>
        <v>0</v>
      </c>
      <c r="AK80" s="387">
        <f t="shared" si="40"/>
        <v>0</v>
      </c>
      <c r="AL80" s="387">
        <f t="shared" si="84"/>
        <v>0</v>
      </c>
      <c r="AM80" s="388">
        <f t="shared" si="85"/>
        <v>0</v>
      </c>
    </row>
    <row r="81" spans="1:39" s="419" customFormat="1" ht="25.5" hidden="1" x14ac:dyDescent="0.2">
      <c r="A81" s="391" t="s">
        <v>515</v>
      </c>
      <c r="B81" s="416"/>
      <c r="C81" s="417"/>
      <c r="D81" s="417"/>
      <c r="E81" s="417"/>
      <c r="F81" s="418"/>
      <c r="G81" s="414"/>
      <c r="H81" s="414"/>
      <c r="I81" s="414"/>
      <c r="J81" s="421"/>
      <c r="K81" s="421"/>
      <c r="L81" s="421"/>
      <c r="M81" s="421"/>
      <c r="N81" s="412"/>
      <c r="O81" s="412"/>
      <c r="P81" s="412"/>
      <c r="Q81" s="412"/>
      <c r="R81" s="412"/>
      <c r="S81" s="412"/>
      <c r="T81" s="412"/>
      <c r="U81" s="412"/>
      <c r="V81" s="412"/>
      <c r="W81" s="412"/>
      <c r="X81" s="412"/>
      <c r="Y81" s="412"/>
      <c r="Z81" s="412"/>
      <c r="AA81" s="412"/>
      <c r="AB81" s="412"/>
      <c r="AC81" s="412"/>
      <c r="AD81" s="412"/>
      <c r="AE81" s="412"/>
      <c r="AF81" s="412"/>
      <c r="AG81" s="412"/>
      <c r="AH81" s="412"/>
      <c r="AI81" s="387">
        <f t="shared" si="38"/>
        <v>0</v>
      </c>
      <c r="AJ81" s="387">
        <f t="shared" si="39"/>
        <v>0</v>
      </c>
      <c r="AK81" s="387">
        <f t="shared" si="40"/>
        <v>0</v>
      </c>
      <c r="AL81" s="387">
        <f t="shared" si="84"/>
        <v>0</v>
      </c>
      <c r="AM81" s="388">
        <f t="shared" si="85"/>
        <v>0</v>
      </c>
    </row>
    <row r="82" spans="1:39" s="419" customFormat="1" ht="51" hidden="1" x14ac:dyDescent="0.2">
      <c r="A82" s="391" t="s">
        <v>516</v>
      </c>
      <c r="B82" s="416"/>
      <c r="C82" s="417"/>
      <c r="D82" s="417"/>
      <c r="E82" s="417"/>
      <c r="F82" s="418"/>
      <c r="G82" s="414"/>
      <c r="H82" s="414"/>
      <c r="I82" s="414"/>
      <c r="J82" s="421"/>
      <c r="K82" s="421"/>
      <c r="L82" s="421"/>
      <c r="M82" s="421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2"/>
      <c r="Z82" s="412"/>
      <c r="AA82" s="412"/>
      <c r="AB82" s="412"/>
      <c r="AC82" s="412"/>
      <c r="AD82" s="412"/>
      <c r="AE82" s="412"/>
      <c r="AF82" s="412"/>
      <c r="AG82" s="412"/>
      <c r="AH82" s="412"/>
      <c r="AI82" s="387">
        <f t="shared" si="38"/>
        <v>0</v>
      </c>
      <c r="AJ82" s="387">
        <f t="shared" si="39"/>
        <v>0</v>
      </c>
      <c r="AK82" s="387">
        <f t="shared" si="40"/>
        <v>0</v>
      </c>
      <c r="AL82" s="387">
        <f t="shared" si="84"/>
        <v>0</v>
      </c>
      <c r="AM82" s="388">
        <f t="shared" si="85"/>
        <v>0</v>
      </c>
    </row>
    <row r="83" spans="1:39" s="419" customFormat="1" ht="25.5" hidden="1" x14ac:dyDescent="0.2">
      <c r="A83" s="391" t="s">
        <v>517</v>
      </c>
      <c r="B83" s="416"/>
      <c r="C83" s="417"/>
      <c r="D83" s="417"/>
      <c r="E83" s="417"/>
      <c r="F83" s="418"/>
      <c r="G83" s="414"/>
      <c r="H83" s="414"/>
      <c r="I83" s="414"/>
      <c r="J83" s="421"/>
      <c r="K83" s="421"/>
      <c r="L83" s="421"/>
      <c r="M83" s="421"/>
      <c r="N83" s="412"/>
      <c r="O83" s="412"/>
      <c r="P83" s="412"/>
      <c r="Q83" s="412"/>
      <c r="R83" s="412"/>
      <c r="S83" s="412"/>
      <c r="T83" s="412"/>
      <c r="U83" s="412"/>
      <c r="V83" s="412"/>
      <c r="W83" s="412"/>
      <c r="X83" s="412"/>
      <c r="Y83" s="412"/>
      <c r="Z83" s="412"/>
      <c r="AA83" s="412"/>
      <c r="AB83" s="412"/>
      <c r="AC83" s="412"/>
      <c r="AD83" s="412"/>
      <c r="AE83" s="412"/>
      <c r="AF83" s="412"/>
      <c r="AG83" s="412"/>
      <c r="AH83" s="412"/>
      <c r="AI83" s="387">
        <f t="shared" si="38"/>
        <v>0</v>
      </c>
      <c r="AJ83" s="387">
        <f t="shared" si="39"/>
        <v>0</v>
      </c>
      <c r="AK83" s="387">
        <f t="shared" si="40"/>
        <v>0</v>
      </c>
      <c r="AL83" s="387">
        <f t="shared" si="84"/>
        <v>0</v>
      </c>
      <c r="AM83" s="388">
        <f t="shared" si="85"/>
        <v>0</v>
      </c>
    </row>
    <row r="84" spans="1:39" s="445" customFormat="1" ht="38.25" hidden="1" x14ac:dyDescent="0.2">
      <c r="A84" s="399" t="s">
        <v>518</v>
      </c>
      <c r="B84" s="400"/>
      <c r="C84" s="1052"/>
      <c r="D84" s="1052"/>
      <c r="E84" s="1052"/>
      <c r="F84" s="402">
        <v>0</v>
      </c>
      <c r="G84" s="480"/>
      <c r="H84" s="480"/>
      <c r="I84" s="480"/>
      <c r="J84" s="447">
        <v>0</v>
      </c>
      <c r="K84" s="447"/>
      <c r="L84" s="447"/>
      <c r="M84" s="447"/>
      <c r="N84" s="447">
        <v>0</v>
      </c>
      <c r="O84" s="447"/>
      <c r="P84" s="447"/>
      <c r="Q84" s="447"/>
      <c r="R84" s="447">
        <v>0</v>
      </c>
      <c r="S84" s="447"/>
      <c r="T84" s="447"/>
      <c r="U84" s="447"/>
      <c r="V84" s="447">
        <v>0</v>
      </c>
      <c r="W84" s="447"/>
      <c r="X84" s="447"/>
      <c r="Y84" s="447"/>
      <c r="Z84" s="447">
        <v>0</v>
      </c>
      <c r="AA84" s="447"/>
      <c r="AB84" s="447"/>
      <c r="AC84" s="447"/>
      <c r="AD84" s="447">
        <v>0</v>
      </c>
      <c r="AE84" s="447"/>
      <c r="AF84" s="447"/>
      <c r="AG84" s="447"/>
      <c r="AH84" s="447">
        <v>0</v>
      </c>
      <c r="AI84" s="409">
        <f t="shared" si="38"/>
        <v>0</v>
      </c>
      <c r="AJ84" s="409">
        <f t="shared" si="39"/>
        <v>0</v>
      </c>
      <c r="AK84" s="409">
        <f t="shared" si="40"/>
        <v>0</v>
      </c>
      <c r="AL84" s="409">
        <f>F84+J84+N84+R84+V84+Z84+AD84+AH84</f>
        <v>0</v>
      </c>
      <c r="AM84" s="424">
        <f>J84+N84+R84+V84+Z84+AD84+AH84</f>
        <v>0</v>
      </c>
    </row>
    <row r="85" spans="1:39" s="419" customFormat="1" ht="89.25" hidden="1" x14ac:dyDescent="0.2">
      <c r="A85" s="391" t="s">
        <v>519</v>
      </c>
      <c r="B85" s="416"/>
      <c r="C85" s="417"/>
      <c r="D85" s="417"/>
      <c r="E85" s="417"/>
      <c r="F85" s="418"/>
      <c r="G85" s="414"/>
      <c r="H85" s="414"/>
      <c r="I85" s="414"/>
      <c r="J85" s="421"/>
      <c r="K85" s="421"/>
      <c r="L85" s="421"/>
      <c r="M85" s="421"/>
      <c r="N85" s="412"/>
      <c r="O85" s="412"/>
      <c r="P85" s="412"/>
      <c r="Q85" s="412"/>
      <c r="R85" s="412"/>
      <c r="S85" s="412"/>
      <c r="T85" s="412"/>
      <c r="U85" s="412"/>
      <c r="V85" s="412"/>
      <c r="W85" s="412"/>
      <c r="X85" s="412"/>
      <c r="Y85" s="412"/>
      <c r="Z85" s="412"/>
      <c r="AA85" s="412"/>
      <c r="AB85" s="412"/>
      <c r="AC85" s="412"/>
      <c r="AD85" s="412"/>
      <c r="AE85" s="412"/>
      <c r="AF85" s="412"/>
      <c r="AG85" s="412"/>
      <c r="AH85" s="412"/>
      <c r="AI85" s="387">
        <f t="shared" si="38"/>
        <v>0</v>
      </c>
      <c r="AJ85" s="387">
        <f t="shared" si="39"/>
        <v>0</v>
      </c>
      <c r="AK85" s="387">
        <f t="shared" si="40"/>
        <v>0</v>
      </c>
      <c r="AL85" s="387">
        <f t="shared" ref="AL85:AL92" si="86">F85+J85+N85+R85+V85+Z85+AD85+AH85</f>
        <v>0</v>
      </c>
      <c r="AM85" s="388">
        <f t="shared" ref="AM85:AM92" si="87">J85+N85+R85+V85+Z85+AD85+AH85</f>
        <v>0</v>
      </c>
    </row>
    <row r="86" spans="1:39" s="419" customFormat="1" ht="38.25" hidden="1" x14ac:dyDescent="0.2">
      <c r="A86" s="391" t="s">
        <v>520</v>
      </c>
      <c r="B86" s="416"/>
      <c r="C86" s="417"/>
      <c r="D86" s="417"/>
      <c r="E86" s="417"/>
      <c r="F86" s="394"/>
      <c r="G86" s="395"/>
      <c r="H86" s="395"/>
      <c r="I86" s="395"/>
      <c r="J86" s="446"/>
      <c r="K86" s="446"/>
      <c r="L86" s="446"/>
      <c r="M86" s="446"/>
      <c r="N86" s="446"/>
      <c r="O86" s="446"/>
      <c r="P86" s="446"/>
      <c r="Q86" s="446"/>
      <c r="R86" s="412"/>
      <c r="S86" s="412"/>
      <c r="T86" s="412"/>
      <c r="U86" s="412"/>
      <c r="V86" s="412"/>
      <c r="W86" s="412"/>
      <c r="X86" s="412"/>
      <c r="Y86" s="412"/>
      <c r="Z86" s="412"/>
      <c r="AA86" s="412"/>
      <c r="AB86" s="412"/>
      <c r="AC86" s="412"/>
      <c r="AD86" s="412"/>
      <c r="AE86" s="412"/>
      <c r="AF86" s="412"/>
      <c r="AG86" s="412"/>
      <c r="AH86" s="412"/>
      <c r="AI86" s="387">
        <f t="shared" si="38"/>
        <v>0</v>
      </c>
      <c r="AJ86" s="387">
        <f t="shared" si="39"/>
        <v>0</v>
      </c>
      <c r="AK86" s="387">
        <f t="shared" si="40"/>
        <v>0</v>
      </c>
      <c r="AL86" s="387">
        <f t="shared" si="86"/>
        <v>0</v>
      </c>
      <c r="AM86" s="388">
        <f t="shared" si="87"/>
        <v>0</v>
      </c>
    </row>
    <row r="87" spans="1:39" s="419" customFormat="1" hidden="1" x14ac:dyDescent="0.2">
      <c r="A87" s="391" t="s">
        <v>521</v>
      </c>
      <c r="B87" s="416"/>
      <c r="C87" s="417"/>
      <c r="D87" s="417"/>
      <c r="E87" s="417"/>
      <c r="F87" s="394"/>
      <c r="G87" s="395"/>
      <c r="H87" s="395"/>
      <c r="I87" s="395"/>
      <c r="J87" s="421"/>
      <c r="K87" s="421"/>
      <c r="L87" s="421"/>
      <c r="M87" s="421"/>
      <c r="N87" s="412"/>
      <c r="O87" s="412"/>
      <c r="P87" s="412"/>
      <c r="Q87" s="412"/>
      <c r="R87" s="412"/>
      <c r="S87" s="412"/>
      <c r="T87" s="412"/>
      <c r="U87" s="412"/>
      <c r="V87" s="412"/>
      <c r="W87" s="412"/>
      <c r="X87" s="412"/>
      <c r="Y87" s="412"/>
      <c r="Z87" s="412"/>
      <c r="AA87" s="412"/>
      <c r="AB87" s="412"/>
      <c r="AC87" s="412"/>
      <c r="AD87" s="412"/>
      <c r="AE87" s="412"/>
      <c r="AF87" s="412"/>
      <c r="AG87" s="412"/>
      <c r="AH87" s="412"/>
      <c r="AI87" s="387">
        <f t="shared" ref="AI87:AI150" si="88">C87+G87+K87+O87+S87+W87+AA87+AE87</f>
        <v>0</v>
      </c>
      <c r="AJ87" s="387">
        <f t="shared" ref="AJ87:AJ150" si="89">D87+H87+L87+P87+T87+X87+AB87+AF87</f>
        <v>0</v>
      </c>
      <c r="AK87" s="387">
        <f t="shared" ref="AK87:AK150" si="90">E87+I87+M87+Q87+U87+Y87+AC87+AG87</f>
        <v>0</v>
      </c>
      <c r="AL87" s="387">
        <f t="shared" si="86"/>
        <v>0</v>
      </c>
      <c r="AM87" s="388">
        <f t="shared" si="87"/>
        <v>0</v>
      </c>
    </row>
    <row r="88" spans="1:39" s="419" customFormat="1" ht="25.5" hidden="1" x14ac:dyDescent="0.2">
      <c r="A88" s="391" t="s">
        <v>522</v>
      </c>
      <c r="B88" s="416"/>
      <c r="C88" s="417"/>
      <c r="D88" s="417"/>
      <c r="E88" s="417"/>
      <c r="F88" s="394"/>
      <c r="G88" s="395"/>
      <c r="H88" s="395"/>
      <c r="I88" s="395"/>
      <c r="J88" s="421"/>
      <c r="K88" s="421"/>
      <c r="L88" s="421"/>
      <c r="M88" s="421"/>
      <c r="N88" s="412"/>
      <c r="O88" s="412"/>
      <c r="P88" s="412"/>
      <c r="Q88" s="412"/>
      <c r="R88" s="412"/>
      <c r="S88" s="412"/>
      <c r="T88" s="412"/>
      <c r="U88" s="412"/>
      <c r="V88" s="412"/>
      <c r="W88" s="412"/>
      <c r="X88" s="412"/>
      <c r="Y88" s="412"/>
      <c r="Z88" s="412"/>
      <c r="AA88" s="412"/>
      <c r="AB88" s="412"/>
      <c r="AC88" s="412"/>
      <c r="AD88" s="412"/>
      <c r="AE88" s="412"/>
      <c r="AF88" s="412"/>
      <c r="AG88" s="412"/>
      <c r="AH88" s="412"/>
      <c r="AI88" s="387">
        <f t="shared" si="88"/>
        <v>0</v>
      </c>
      <c r="AJ88" s="387">
        <f t="shared" si="89"/>
        <v>0</v>
      </c>
      <c r="AK88" s="387">
        <f t="shared" si="90"/>
        <v>0</v>
      </c>
      <c r="AL88" s="387">
        <f t="shared" si="86"/>
        <v>0</v>
      </c>
      <c r="AM88" s="388">
        <f t="shared" si="87"/>
        <v>0</v>
      </c>
    </row>
    <row r="89" spans="1:39" s="419" customFormat="1" ht="38.25" hidden="1" x14ac:dyDescent="0.2">
      <c r="A89" s="391" t="s">
        <v>523</v>
      </c>
      <c r="B89" s="416"/>
      <c r="C89" s="417"/>
      <c r="D89" s="417"/>
      <c r="E89" s="417"/>
      <c r="F89" s="394"/>
      <c r="G89" s="395"/>
      <c r="H89" s="395"/>
      <c r="I89" s="395"/>
      <c r="J89" s="421"/>
      <c r="K89" s="421"/>
      <c r="L89" s="421"/>
      <c r="M89" s="421"/>
      <c r="N89" s="412"/>
      <c r="O89" s="412"/>
      <c r="P89" s="412"/>
      <c r="Q89" s="412"/>
      <c r="R89" s="412"/>
      <c r="S89" s="412"/>
      <c r="T89" s="412"/>
      <c r="U89" s="412"/>
      <c r="V89" s="412"/>
      <c r="W89" s="412"/>
      <c r="X89" s="412"/>
      <c r="Y89" s="412"/>
      <c r="Z89" s="412"/>
      <c r="AA89" s="412"/>
      <c r="AB89" s="412"/>
      <c r="AC89" s="412"/>
      <c r="AD89" s="412"/>
      <c r="AE89" s="412"/>
      <c r="AF89" s="412"/>
      <c r="AG89" s="412"/>
      <c r="AH89" s="412"/>
      <c r="AI89" s="387">
        <f t="shared" si="88"/>
        <v>0</v>
      </c>
      <c r="AJ89" s="387">
        <f t="shared" si="89"/>
        <v>0</v>
      </c>
      <c r="AK89" s="387">
        <f t="shared" si="90"/>
        <v>0</v>
      </c>
      <c r="AL89" s="387">
        <f t="shared" si="86"/>
        <v>0</v>
      </c>
      <c r="AM89" s="388">
        <f t="shared" si="87"/>
        <v>0</v>
      </c>
    </row>
    <row r="90" spans="1:39" s="419" customFormat="1" hidden="1" x14ac:dyDescent="0.2">
      <c r="A90" s="391" t="s">
        <v>524</v>
      </c>
      <c r="B90" s="416"/>
      <c r="C90" s="417"/>
      <c r="D90" s="417"/>
      <c r="E90" s="417"/>
      <c r="F90" s="394"/>
      <c r="G90" s="395"/>
      <c r="H90" s="395"/>
      <c r="I90" s="395"/>
      <c r="J90" s="421"/>
      <c r="K90" s="421"/>
      <c r="L90" s="421"/>
      <c r="M90" s="421"/>
      <c r="N90" s="412"/>
      <c r="O90" s="412"/>
      <c r="P90" s="412"/>
      <c r="Q90" s="412"/>
      <c r="R90" s="412"/>
      <c r="S90" s="412"/>
      <c r="T90" s="412"/>
      <c r="U90" s="412"/>
      <c r="V90" s="412"/>
      <c r="W90" s="412"/>
      <c r="X90" s="412"/>
      <c r="Y90" s="412"/>
      <c r="Z90" s="412"/>
      <c r="AA90" s="412"/>
      <c r="AB90" s="412"/>
      <c r="AC90" s="412"/>
      <c r="AD90" s="412"/>
      <c r="AE90" s="412"/>
      <c r="AF90" s="412"/>
      <c r="AG90" s="412"/>
      <c r="AH90" s="412"/>
      <c r="AI90" s="387">
        <f t="shared" si="88"/>
        <v>0</v>
      </c>
      <c r="AJ90" s="387">
        <f t="shared" si="89"/>
        <v>0</v>
      </c>
      <c r="AK90" s="387">
        <f t="shared" si="90"/>
        <v>0</v>
      </c>
      <c r="AL90" s="387">
        <f t="shared" si="86"/>
        <v>0</v>
      </c>
      <c r="AM90" s="388">
        <f t="shared" si="87"/>
        <v>0</v>
      </c>
    </row>
    <row r="91" spans="1:39" s="419" customFormat="1" ht="38.25" hidden="1" x14ac:dyDescent="0.2">
      <c r="A91" s="391" t="s">
        <v>525</v>
      </c>
      <c r="B91" s="416"/>
      <c r="C91" s="417"/>
      <c r="D91" s="417"/>
      <c r="E91" s="417"/>
      <c r="F91" s="394"/>
      <c r="G91" s="395"/>
      <c r="H91" s="395"/>
      <c r="I91" s="395"/>
      <c r="J91" s="421"/>
      <c r="K91" s="421"/>
      <c r="L91" s="421"/>
      <c r="M91" s="421"/>
      <c r="N91" s="412"/>
      <c r="O91" s="412"/>
      <c r="P91" s="412"/>
      <c r="Q91" s="412"/>
      <c r="R91" s="412"/>
      <c r="S91" s="412"/>
      <c r="T91" s="412"/>
      <c r="U91" s="412"/>
      <c r="V91" s="412"/>
      <c r="W91" s="412"/>
      <c r="X91" s="412"/>
      <c r="Y91" s="412"/>
      <c r="Z91" s="412"/>
      <c r="AA91" s="412"/>
      <c r="AB91" s="412"/>
      <c r="AC91" s="412"/>
      <c r="AD91" s="412"/>
      <c r="AE91" s="412"/>
      <c r="AF91" s="412"/>
      <c r="AG91" s="412"/>
      <c r="AH91" s="412"/>
      <c r="AI91" s="387">
        <f t="shared" si="88"/>
        <v>0</v>
      </c>
      <c r="AJ91" s="387">
        <f t="shared" si="89"/>
        <v>0</v>
      </c>
      <c r="AK91" s="387">
        <f t="shared" si="90"/>
        <v>0</v>
      </c>
      <c r="AL91" s="387">
        <f t="shared" si="86"/>
        <v>0</v>
      </c>
      <c r="AM91" s="388">
        <f t="shared" si="87"/>
        <v>0</v>
      </c>
    </row>
    <row r="92" spans="1:39" s="419" customFormat="1" ht="25.5" hidden="1" x14ac:dyDescent="0.2">
      <c r="A92" s="391" t="s">
        <v>526</v>
      </c>
      <c r="B92" s="416"/>
      <c r="C92" s="417"/>
      <c r="D92" s="417"/>
      <c r="E92" s="417"/>
      <c r="F92" s="394"/>
      <c r="G92" s="395"/>
      <c r="H92" s="395"/>
      <c r="I92" s="395"/>
      <c r="J92" s="421"/>
      <c r="K92" s="421"/>
      <c r="L92" s="421"/>
      <c r="M92" s="421"/>
      <c r="N92" s="412"/>
      <c r="O92" s="412"/>
      <c r="P92" s="412"/>
      <c r="Q92" s="412"/>
      <c r="R92" s="412"/>
      <c r="S92" s="412"/>
      <c r="T92" s="412"/>
      <c r="U92" s="412"/>
      <c r="V92" s="412"/>
      <c r="W92" s="412"/>
      <c r="X92" s="412"/>
      <c r="Y92" s="412"/>
      <c r="Z92" s="412"/>
      <c r="AA92" s="412"/>
      <c r="AB92" s="412"/>
      <c r="AC92" s="412"/>
      <c r="AD92" s="412"/>
      <c r="AE92" s="412"/>
      <c r="AF92" s="412"/>
      <c r="AG92" s="412"/>
      <c r="AH92" s="412"/>
      <c r="AI92" s="387">
        <f t="shared" si="88"/>
        <v>0</v>
      </c>
      <c r="AJ92" s="387">
        <f t="shared" si="89"/>
        <v>0</v>
      </c>
      <c r="AK92" s="387">
        <f t="shared" si="90"/>
        <v>0</v>
      </c>
      <c r="AL92" s="387">
        <f t="shared" si="86"/>
        <v>0</v>
      </c>
      <c r="AM92" s="388">
        <f t="shared" si="87"/>
        <v>0</v>
      </c>
    </row>
    <row r="93" spans="1:39" s="445" customFormat="1" ht="25.5" x14ac:dyDescent="0.2">
      <c r="A93" s="399" t="s">
        <v>1136</v>
      </c>
      <c r="B93" s="400"/>
      <c r="C93" s="1052"/>
      <c r="D93" s="1052"/>
      <c r="E93" s="1052">
        <v>0</v>
      </c>
      <c r="F93" s="402">
        <v>0</v>
      </c>
      <c r="G93" s="480"/>
      <c r="H93" s="480"/>
      <c r="I93" s="480"/>
      <c r="J93" s="447">
        <v>0</v>
      </c>
      <c r="K93" s="447"/>
      <c r="L93" s="447"/>
      <c r="M93" s="447"/>
      <c r="N93" s="447">
        <v>0</v>
      </c>
      <c r="O93" s="447"/>
      <c r="P93" s="447"/>
      <c r="Q93" s="447"/>
      <c r="R93" s="447">
        <v>0</v>
      </c>
      <c r="S93" s="447"/>
      <c r="T93" s="447"/>
      <c r="U93" s="447"/>
      <c r="V93" s="447">
        <v>0</v>
      </c>
      <c r="W93" s="447"/>
      <c r="X93" s="447"/>
      <c r="Y93" s="447"/>
      <c r="Z93" s="447">
        <v>0</v>
      </c>
      <c r="AA93" s="447"/>
      <c r="AB93" s="447"/>
      <c r="AC93" s="447"/>
      <c r="AD93" s="447">
        <v>0</v>
      </c>
      <c r="AE93" s="447"/>
      <c r="AF93" s="447"/>
      <c r="AG93" s="447"/>
      <c r="AH93" s="447">
        <v>0</v>
      </c>
      <c r="AI93" s="409">
        <f t="shared" si="88"/>
        <v>0</v>
      </c>
      <c r="AJ93" s="409">
        <f t="shared" si="89"/>
        <v>0</v>
      </c>
      <c r="AK93" s="409">
        <f t="shared" si="90"/>
        <v>0</v>
      </c>
      <c r="AL93" s="409">
        <f>F93+J93+N93+R93+V93+Z93+AD93+AH93</f>
        <v>0</v>
      </c>
      <c r="AM93" s="424">
        <f>J93+N93+R93+V93+Z93+AD93+AH93</f>
        <v>0</v>
      </c>
    </row>
    <row r="94" spans="1:39" s="419" customFormat="1" ht="25.5" hidden="1" x14ac:dyDescent="0.2">
      <c r="A94" s="391" t="s">
        <v>527</v>
      </c>
      <c r="B94" s="416"/>
      <c r="C94" s="417"/>
      <c r="D94" s="417"/>
      <c r="E94" s="417"/>
      <c r="F94" s="418"/>
      <c r="G94" s="414"/>
      <c r="H94" s="414"/>
      <c r="I94" s="414"/>
      <c r="J94" s="421"/>
      <c r="K94" s="421"/>
      <c r="L94" s="421"/>
      <c r="M94" s="421"/>
      <c r="N94" s="412"/>
      <c r="O94" s="412"/>
      <c r="P94" s="412"/>
      <c r="Q94" s="412"/>
      <c r="R94" s="412"/>
      <c r="S94" s="412"/>
      <c r="T94" s="412"/>
      <c r="U94" s="412"/>
      <c r="V94" s="412"/>
      <c r="W94" s="412"/>
      <c r="X94" s="412"/>
      <c r="Y94" s="412"/>
      <c r="Z94" s="412"/>
      <c r="AA94" s="412"/>
      <c r="AB94" s="412"/>
      <c r="AC94" s="412"/>
      <c r="AD94" s="412"/>
      <c r="AE94" s="412"/>
      <c r="AF94" s="412"/>
      <c r="AG94" s="412"/>
      <c r="AH94" s="412"/>
      <c r="AI94" s="387">
        <f t="shared" si="88"/>
        <v>0</v>
      </c>
      <c r="AJ94" s="387">
        <f t="shared" si="89"/>
        <v>0</v>
      </c>
      <c r="AK94" s="387">
        <f t="shared" si="90"/>
        <v>0</v>
      </c>
      <c r="AL94" s="387">
        <f t="shared" ref="AL94:AL99" si="91">F94+J94+N94+R94+V94+Z94+AD94+AH94</f>
        <v>0</v>
      </c>
      <c r="AM94" s="388">
        <f t="shared" ref="AM94:AM99" si="92">J94+N94+R94+V94+Z94+AD94+AH94</f>
        <v>0</v>
      </c>
    </row>
    <row r="95" spans="1:39" s="419" customFormat="1" hidden="1" x14ac:dyDescent="0.2">
      <c r="A95" s="391" t="s">
        <v>528</v>
      </c>
      <c r="B95" s="416"/>
      <c r="C95" s="417"/>
      <c r="D95" s="417"/>
      <c r="E95" s="417"/>
      <c r="F95" s="394"/>
      <c r="G95" s="395"/>
      <c r="H95" s="395"/>
      <c r="I95" s="395"/>
      <c r="J95" s="421"/>
      <c r="K95" s="421"/>
      <c r="L95" s="421"/>
      <c r="M95" s="421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2"/>
      <c r="AC95" s="412"/>
      <c r="AD95" s="412"/>
      <c r="AE95" s="412"/>
      <c r="AF95" s="412"/>
      <c r="AG95" s="412"/>
      <c r="AH95" s="412"/>
      <c r="AI95" s="387">
        <f t="shared" si="88"/>
        <v>0</v>
      </c>
      <c r="AJ95" s="387">
        <f t="shared" si="89"/>
        <v>0</v>
      </c>
      <c r="AK95" s="387">
        <f t="shared" si="90"/>
        <v>0</v>
      </c>
      <c r="AL95" s="387">
        <f t="shared" si="91"/>
        <v>0</v>
      </c>
      <c r="AM95" s="388">
        <f t="shared" si="92"/>
        <v>0</v>
      </c>
    </row>
    <row r="96" spans="1:39" s="419" customFormat="1" hidden="1" x14ac:dyDescent="0.2">
      <c r="A96" s="391"/>
      <c r="B96" s="416"/>
      <c r="C96" s="417"/>
      <c r="D96" s="417"/>
      <c r="E96" s="417"/>
      <c r="F96" s="418"/>
      <c r="G96" s="414"/>
      <c r="H96" s="414"/>
      <c r="I96" s="414"/>
      <c r="J96" s="446"/>
      <c r="K96" s="446"/>
      <c r="L96" s="446"/>
      <c r="M96" s="446"/>
      <c r="N96" s="446"/>
      <c r="O96" s="446"/>
      <c r="P96" s="446"/>
      <c r="Q96" s="446"/>
      <c r="R96" s="412"/>
      <c r="S96" s="412"/>
      <c r="T96" s="412"/>
      <c r="U96" s="412"/>
      <c r="V96" s="412"/>
      <c r="W96" s="412"/>
      <c r="X96" s="412"/>
      <c r="Y96" s="412"/>
      <c r="Z96" s="412"/>
      <c r="AA96" s="412"/>
      <c r="AB96" s="412"/>
      <c r="AC96" s="412"/>
      <c r="AD96" s="412"/>
      <c r="AE96" s="412"/>
      <c r="AF96" s="412"/>
      <c r="AG96" s="412"/>
      <c r="AH96" s="412"/>
      <c r="AI96" s="387">
        <f t="shared" si="88"/>
        <v>0</v>
      </c>
      <c r="AJ96" s="387">
        <f t="shared" si="89"/>
        <v>0</v>
      </c>
      <c r="AK96" s="387">
        <f t="shared" si="90"/>
        <v>0</v>
      </c>
      <c r="AL96" s="387">
        <f t="shared" si="91"/>
        <v>0</v>
      </c>
      <c r="AM96" s="388">
        <f t="shared" si="92"/>
        <v>0</v>
      </c>
    </row>
    <row r="97" spans="1:39" s="419" customFormat="1" hidden="1" x14ac:dyDescent="0.2">
      <c r="A97" s="391"/>
      <c r="B97" s="416"/>
      <c r="C97" s="417"/>
      <c r="D97" s="417"/>
      <c r="E97" s="417"/>
      <c r="F97" s="394"/>
      <c r="G97" s="395"/>
      <c r="H97" s="395"/>
      <c r="I97" s="395"/>
      <c r="J97" s="421"/>
      <c r="K97" s="421"/>
      <c r="L97" s="421"/>
      <c r="M97" s="421"/>
      <c r="N97" s="412"/>
      <c r="O97" s="412"/>
      <c r="P97" s="412"/>
      <c r="Q97" s="412"/>
      <c r="R97" s="412"/>
      <c r="S97" s="412"/>
      <c r="T97" s="412"/>
      <c r="U97" s="412"/>
      <c r="V97" s="412"/>
      <c r="W97" s="412"/>
      <c r="X97" s="412"/>
      <c r="Y97" s="412"/>
      <c r="Z97" s="412"/>
      <c r="AA97" s="412"/>
      <c r="AB97" s="412"/>
      <c r="AC97" s="412"/>
      <c r="AD97" s="412"/>
      <c r="AE97" s="412"/>
      <c r="AF97" s="412"/>
      <c r="AG97" s="412"/>
      <c r="AH97" s="412"/>
      <c r="AI97" s="387">
        <f t="shared" si="88"/>
        <v>0</v>
      </c>
      <c r="AJ97" s="387">
        <f t="shared" si="89"/>
        <v>0</v>
      </c>
      <c r="AK97" s="387">
        <f t="shared" si="90"/>
        <v>0</v>
      </c>
      <c r="AL97" s="387">
        <f t="shared" si="91"/>
        <v>0</v>
      </c>
      <c r="AM97" s="388">
        <f t="shared" si="92"/>
        <v>0</v>
      </c>
    </row>
    <row r="98" spans="1:39" s="419" customFormat="1" hidden="1" x14ac:dyDescent="0.2">
      <c r="A98" s="391"/>
      <c r="B98" s="416"/>
      <c r="C98" s="417"/>
      <c r="D98" s="417"/>
      <c r="E98" s="417"/>
      <c r="F98" s="418"/>
      <c r="G98" s="414"/>
      <c r="H98" s="414"/>
      <c r="I98" s="414"/>
      <c r="J98" s="421"/>
      <c r="K98" s="421"/>
      <c r="L98" s="421"/>
      <c r="M98" s="421"/>
      <c r="N98" s="412"/>
      <c r="O98" s="412"/>
      <c r="P98" s="412"/>
      <c r="Q98" s="412"/>
      <c r="R98" s="412"/>
      <c r="S98" s="412"/>
      <c r="T98" s="412"/>
      <c r="U98" s="412"/>
      <c r="V98" s="412"/>
      <c r="W98" s="412"/>
      <c r="X98" s="412"/>
      <c r="Y98" s="412"/>
      <c r="Z98" s="412"/>
      <c r="AA98" s="412"/>
      <c r="AB98" s="412"/>
      <c r="AC98" s="412"/>
      <c r="AD98" s="412"/>
      <c r="AE98" s="412"/>
      <c r="AF98" s="412"/>
      <c r="AG98" s="412"/>
      <c r="AH98" s="412"/>
      <c r="AI98" s="387">
        <f t="shared" si="88"/>
        <v>0</v>
      </c>
      <c r="AJ98" s="387">
        <f t="shared" si="89"/>
        <v>0</v>
      </c>
      <c r="AK98" s="387">
        <f t="shared" si="90"/>
        <v>0</v>
      </c>
      <c r="AL98" s="387">
        <f t="shared" si="91"/>
        <v>0</v>
      </c>
      <c r="AM98" s="388">
        <f t="shared" si="92"/>
        <v>0</v>
      </c>
    </row>
    <row r="99" spans="1:39" s="419" customFormat="1" hidden="1" x14ac:dyDescent="0.2">
      <c r="A99" s="391"/>
      <c r="B99" s="416"/>
      <c r="C99" s="417"/>
      <c r="D99" s="417"/>
      <c r="E99" s="417"/>
      <c r="F99" s="418"/>
      <c r="G99" s="414"/>
      <c r="H99" s="414"/>
      <c r="I99" s="414"/>
      <c r="J99" s="421"/>
      <c r="K99" s="421"/>
      <c r="L99" s="421"/>
      <c r="M99" s="421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2"/>
      <c r="AC99" s="412"/>
      <c r="AD99" s="412"/>
      <c r="AE99" s="412"/>
      <c r="AF99" s="412"/>
      <c r="AG99" s="412"/>
      <c r="AH99" s="412"/>
      <c r="AI99" s="387">
        <f t="shared" si="88"/>
        <v>0</v>
      </c>
      <c r="AJ99" s="387">
        <f t="shared" si="89"/>
        <v>0</v>
      </c>
      <c r="AK99" s="387">
        <f t="shared" si="90"/>
        <v>0</v>
      </c>
      <c r="AL99" s="387">
        <f t="shared" si="91"/>
        <v>0</v>
      </c>
      <c r="AM99" s="388">
        <f t="shared" si="92"/>
        <v>0</v>
      </c>
    </row>
    <row r="100" spans="1:39" s="445" customFormat="1" ht="25.5" hidden="1" x14ac:dyDescent="0.2">
      <c r="A100" s="399" t="s">
        <v>529</v>
      </c>
      <c r="B100" s="400"/>
      <c r="C100" s="1052"/>
      <c r="D100" s="1052"/>
      <c r="E100" s="1052"/>
      <c r="F100" s="402">
        <v>0</v>
      </c>
      <c r="G100" s="480"/>
      <c r="H100" s="480"/>
      <c r="I100" s="480"/>
      <c r="J100" s="481">
        <v>0</v>
      </c>
      <c r="K100" s="481"/>
      <c r="L100" s="481"/>
      <c r="M100" s="481"/>
      <c r="N100" s="481">
        <v>0</v>
      </c>
      <c r="O100" s="481"/>
      <c r="P100" s="481"/>
      <c r="Q100" s="481"/>
      <c r="R100" s="481">
        <v>0</v>
      </c>
      <c r="S100" s="481"/>
      <c r="T100" s="481"/>
      <c r="U100" s="481"/>
      <c r="V100" s="481">
        <v>0</v>
      </c>
      <c r="W100" s="481"/>
      <c r="X100" s="481"/>
      <c r="Y100" s="481"/>
      <c r="Z100" s="481">
        <v>0</v>
      </c>
      <c r="AA100" s="481"/>
      <c r="AB100" s="481"/>
      <c r="AC100" s="481"/>
      <c r="AD100" s="481">
        <v>0</v>
      </c>
      <c r="AE100" s="481"/>
      <c r="AF100" s="481"/>
      <c r="AG100" s="481"/>
      <c r="AH100" s="481">
        <v>0</v>
      </c>
      <c r="AI100" s="409">
        <f t="shared" si="88"/>
        <v>0</v>
      </c>
      <c r="AJ100" s="409">
        <f t="shared" si="89"/>
        <v>0</v>
      </c>
      <c r="AK100" s="409">
        <f t="shared" si="90"/>
        <v>0</v>
      </c>
      <c r="AL100" s="409">
        <f>F100+J100+N100+R100+V100+Z100+AD100+AH100</f>
        <v>0</v>
      </c>
      <c r="AM100" s="424">
        <f>J100+N100+R100+V100+Z100+AD100+AH100</f>
        <v>0</v>
      </c>
    </row>
    <row r="101" spans="1:39" s="419" customFormat="1" ht="25.5" hidden="1" x14ac:dyDescent="0.2">
      <c r="A101" s="391" t="s">
        <v>530</v>
      </c>
      <c r="B101" s="416"/>
      <c r="C101" s="417"/>
      <c r="D101" s="417"/>
      <c r="E101" s="417"/>
      <c r="F101" s="394"/>
      <c r="G101" s="395"/>
      <c r="H101" s="395"/>
      <c r="I101" s="395"/>
      <c r="J101" s="421"/>
      <c r="K101" s="421"/>
      <c r="L101" s="421"/>
      <c r="M101" s="421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2"/>
      <c r="AC101" s="412"/>
      <c r="AD101" s="412"/>
      <c r="AE101" s="412"/>
      <c r="AF101" s="412"/>
      <c r="AG101" s="412"/>
      <c r="AH101" s="412"/>
      <c r="AI101" s="387">
        <f t="shared" si="88"/>
        <v>0</v>
      </c>
      <c r="AJ101" s="387">
        <f t="shared" si="89"/>
        <v>0</v>
      </c>
      <c r="AK101" s="387">
        <f t="shared" si="90"/>
        <v>0</v>
      </c>
      <c r="AL101" s="387">
        <f t="shared" ref="AL101:AL102" si="93">F101+J101+N101+R101+V101+Z101+AD101+AH101</f>
        <v>0</v>
      </c>
      <c r="AM101" s="388">
        <f t="shared" ref="AM101:AM102" si="94">J101+N101+R101+V101+Z101+AD101+AH101</f>
        <v>0</v>
      </c>
    </row>
    <row r="102" spans="1:39" s="419" customFormat="1" ht="25.5" hidden="1" x14ac:dyDescent="0.2">
      <c r="A102" s="391" t="s">
        <v>531</v>
      </c>
      <c r="B102" s="416"/>
      <c r="C102" s="417"/>
      <c r="D102" s="417"/>
      <c r="E102" s="417"/>
      <c r="F102" s="394"/>
      <c r="G102" s="395"/>
      <c r="H102" s="395"/>
      <c r="I102" s="395"/>
      <c r="J102" s="421"/>
      <c r="K102" s="421"/>
      <c r="L102" s="421"/>
      <c r="M102" s="421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  <c r="X102" s="412"/>
      <c r="Y102" s="412"/>
      <c r="Z102" s="412"/>
      <c r="AA102" s="412"/>
      <c r="AB102" s="412"/>
      <c r="AC102" s="412"/>
      <c r="AD102" s="412"/>
      <c r="AE102" s="412"/>
      <c r="AF102" s="412"/>
      <c r="AG102" s="412"/>
      <c r="AH102" s="412"/>
      <c r="AI102" s="387">
        <f t="shared" si="88"/>
        <v>0</v>
      </c>
      <c r="AJ102" s="387">
        <f t="shared" si="89"/>
        <v>0</v>
      </c>
      <c r="AK102" s="387">
        <f t="shared" si="90"/>
        <v>0</v>
      </c>
      <c r="AL102" s="387">
        <f t="shared" si="93"/>
        <v>0</v>
      </c>
      <c r="AM102" s="388">
        <f t="shared" si="94"/>
        <v>0</v>
      </c>
    </row>
    <row r="103" spans="1:39" s="445" customFormat="1" ht="33" customHeight="1" x14ac:dyDescent="0.2">
      <c r="A103" s="399" t="s">
        <v>1137</v>
      </c>
      <c r="B103" s="400"/>
      <c r="C103" s="1052">
        <v>186500</v>
      </c>
      <c r="D103" s="1052">
        <v>186500</v>
      </c>
      <c r="E103" s="1052">
        <v>142717.079</v>
      </c>
      <c r="F103" s="402">
        <v>186500</v>
      </c>
      <c r="G103" s="480"/>
      <c r="H103" s="480"/>
      <c r="I103" s="480"/>
      <c r="J103" s="481">
        <v>0</v>
      </c>
      <c r="K103" s="481"/>
      <c r="L103" s="481"/>
      <c r="M103" s="481"/>
      <c r="N103" s="481">
        <v>0</v>
      </c>
      <c r="O103" s="481"/>
      <c r="P103" s="481"/>
      <c r="Q103" s="481"/>
      <c r="R103" s="481">
        <v>0</v>
      </c>
      <c r="S103" s="481"/>
      <c r="T103" s="481"/>
      <c r="U103" s="481"/>
      <c r="V103" s="481">
        <v>0</v>
      </c>
      <c r="W103" s="481"/>
      <c r="X103" s="481"/>
      <c r="Y103" s="481"/>
      <c r="Z103" s="481">
        <v>0</v>
      </c>
      <c r="AA103" s="481"/>
      <c r="AB103" s="481"/>
      <c r="AC103" s="481"/>
      <c r="AD103" s="481">
        <v>0</v>
      </c>
      <c r="AE103" s="481"/>
      <c r="AF103" s="481"/>
      <c r="AG103" s="481"/>
      <c r="AH103" s="481">
        <v>0</v>
      </c>
      <c r="AI103" s="409">
        <f t="shared" si="88"/>
        <v>186500</v>
      </c>
      <c r="AJ103" s="409">
        <f t="shared" si="89"/>
        <v>186500</v>
      </c>
      <c r="AK103" s="409">
        <f t="shared" si="90"/>
        <v>142717.079</v>
      </c>
      <c r="AL103" s="409">
        <f>F103+J103+N103+R103+V103+Z103+AD103+AH103</f>
        <v>186500</v>
      </c>
      <c r="AM103" s="424">
        <f>J103+N103+R103+V103+Z103+AD103+AH103</f>
        <v>0</v>
      </c>
    </row>
    <row r="104" spans="1:39" s="419" customFormat="1" hidden="1" x14ac:dyDescent="0.2">
      <c r="A104" s="391" t="s">
        <v>532</v>
      </c>
      <c r="B104" s="416"/>
      <c r="C104" s="417"/>
      <c r="D104" s="417"/>
      <c r="E104" s="417"/>
      <c r="F104" s="394"/>
      <c r="G104" s="395"/>
      <c r="H104" s="395"/>
      <c r="I104" s="395"/>
      <c r="J104" s="421"/>
      <c r="K104" s="421"/>
      <c r="L104" s="421"/>
      <c r="M104" s="421"/>
      <c r="N104" s="412"/>
      <c r="O104" s="412"/>
      <c r="P104" s="412"/>
      <c r="Q104" s="412"/>
      <c r="R104" s="412"/>
      <c r="S104" s="412"/>
      <c r="T104" s="412"/>
      <c r="U104" s="412"/>
      <c r="V104" s="412"/>
      <c r="W104" s="412"/>
      <c r="X104" s="412"/>
      <c r="Y104" s="412"/>
      <c r="Z104" s="412"/>
      <c r="AA104" s="412"/>
      <c r="AB104" s="412"/>
      <c r="AC104" s="412"/>
      <c r="AD104" s="412"/>
      <c r="AE104" s="412"/>
      <c r="AF104" s="412"/>
      <c r="AG104" s="412"/>
      <c r="AH104" s="412"/>
      <c r="AI104" s="387">
        <f t="shared" si="88"/>
        <v>0</v>
      </c>
      <c r="AJ104" s="387">
        <f t="shared" si="89"/>
        <v>0</v>
      </c>
      <c r="AK104" s="387">
        <f t="shared" si="90"/>
        <v>0</v>
      </c>
      <c r="AL104" s="387">
        <f t="shared" ref="AL104:AL122" si="95">F104+J104+N104+R104+V104+Z104+AD104+AH104</f>
        <v>0</v>
      </c>
      <c r="AM104" s="388">
        <f t="shared" ref="AM104:AM122" si="96">J104+N104+R104+V104+Z104+AD104+AH104</f>
        <v>0</v>
      </c>
    </row>
    <row r="105" spans="1:39" s="419" customFormat="1" ht="38.25" hidden="1" x14ac:dyDescent="0.2">
      <c r="A105" s="391" t="s">
        <v>533</v>
      </c>
      <c r="B105" s="416"/>
      <c r="C105" s="417"/>
      <c r="D105" s="417"/>
      <c r="E105" s="417"/>
      <c r="F105" s="418"/>
      <c r="G105" s="414"/>
      <c r="H105" s="414"/>
      <c r="I105" s="414"/>
      <c r="J105" s="421"/>
      <c r="K105" s="421"/>
      <c r="L105" s="421"/>
      <c r="M105" s="421"/>
      <c r="N105" s="412"/>
      <c r="O105" s="412"/>
      <c r="P105" s="412"/>
      <c r="Q105" s="412"/>
      <c r="R105" s="412"/>
      <c r="S105" s="412"/>
      <c r="T105" s="412"/>
      <c r="U105" s="412"/>
      <c r="V105" s="412"/>
      <c r="W105" s="412"/>
      <c r="X105" s="412"/>
      <c r="Y105" s="412"/>
      <c r="Z105" s="412"/>
      <c r="AA105" s="412"/>
      <c r="AB105" s="412"/>
      <c r="AC105" s="412"/>
      <c r="AD105" s="412"/>
      <c r="AE105" s="412"/>
      <c r="AF105" s="412"/>
      <c r="AG105" s="412"/>
      <c r="AH105" s="412"/>
      <c r="AI105" s="387">
        <f t="shared" si="88"/>
        <v>0</v>
      </c>
      <c r="AJ105" s="387">
        <f t="shared" si="89"/>
        <v>0</v>
      </c>
      <c r="AK105" s="387">
        <f t="shared" si="90"/>
        <v>0</v>
      </c>
      <c r="AL105" s="387">
        <f t="shared" si="95"/>
        <v>0</v>
      </c>
      <c r="AM105" s="388">
        <f t="shared" si="96"/>
        <v>0</v>
      </c>
    </row>
    <row r="106" spans="1:39" s="419" customFormat="1" ht="38.25" hidden="1" x14ac:dyDescent="0.2">
      <c r="A106" s="391" t="s">
        <v>534</v>
      </c>
      <c r="B106" s="416"/>
      <c r="C106" s="417"/>
      <c r="D106" s="417"/>
      <c r="E106" s="417"/>
      <c r="F106" s="418"/>
      <c r="G106" s="414"/>
      <c r="H106" s="414"/>
      <c r="I106" s="414"/>
      <c r="J106" s="421"/>
      <c r="K106" s="421"/>
      <c r="L106" s="421"/>
      <c r="M106" s="421"/>
      <c r="N106" s="412"/>
      <c r="O106" s="412"/>
      <c r="P106" s="412"/>
      <c r="Q106" s="412"/>
      <c r="R106" s="412"/>
      <c r="S106" s="412"/>
      <c r="T106" s="412"/>
      <c r="U106" s="412"/>
      <c r="V106" s="412"/>
      <c r="W106" s="412"/>
      <c r="X106" s="412"/>
      <c r="Y106" s="412"/>
      <c r="Z106" s="412"/>
      <c r="AA106" s="412"/>
      <c r="AB106" s="412"/>
      <c r="AC106" s="412"/>
      <c r="AD106" s="412"/>
      <c r="AE106" s="412"/>
      <c r="AF106" s="412"/>
      <c r="AG106" s="412"/>
      <c r="AH106" s="412"/>
      <c r="AI106" s="387">
        <f t="shared" si="88"/>
        <v>0</v>
      </c>
      <c r="AJ106" s="387">
        <f t="shared" si="89"/>
        <v>0</v>
      </c>
      <c r="AK106" s="387">
        <f t="shared" si="90"/>
        <v>0</v>
      </c>
      <c r="AL106" s="387">
        <f t="shared" si="95"/>
        <v>0</v>
      </c>
      <c r="AM106" s="388">
        <f t="shared" si="96"/>
        <v>0</v>
      </c>
    </row>
    <row r="107" spans="1:39" s="419" customFormat="1" ht="25.5" hidden="1" x14ac:dyDescent="0.2">
      <c r="A107" s="391" t="s">
        <v>535</v>
      </c>
      <c r="B107" s="416"/>
      <c r="C107" s="417"/>
      <c r="D107" s="417"/>
      <c r="E107" s="417"/>
      <c r="F107" s="394"/>
      <c r="G107" s="395"/>
      <c r="H107" s="395"/>
      <c r="I107" s="395"/>
      <c r="J107" s="421"/>
      <c r="K107" s="421"/>
      <c r="L107" s="421"/>
      <c r="M107" s="421"/>
      <c r="N107" s="412"/>
      <c r="O107" s="412"/>
      <c r="P107" s="412"/>
      <c r="Q107" s="412"/>
      <c r="R107" s="412"/>
      <c r="S107" s="412"/>
      <c r="T107" s="412"/>
      <c r="U107" s="412"/>
      <c r="V107" s="412"/>
      <c r="W107" s="412"/>
      <c r="X107" s="412"/>
      <c r="Y107" s="412"/>
      <c r="Z107" s="412"/>
      <c r="AA107" s="412"/>
      <c r="AB107" s="412"/>
      <c r="AC107" s="412"/>
      <c r="AD107" s="412"/>
      <c r="AE107" s="412"/>
      <c r="AF107" s="412"/>
      <c r="AG107" s="412"/>
      <c r="AH107" s="412"/>
      <c r="AI107" s="387">
        <f t="shared" si="88"/>
        <v>0</v>
      </c>
      <c r="AJ107" s="387">
        <f t="shared" si="89"/>
        <v>0</v>
      </c>
      <c r="AK107" s="387">
        <f t="shared" si="90"/>
        <v>0</v>
      </c>
      <c r="AL107" s="387">
        <f t="shared" si="95"/>
        <v>0</v>
      </c>
      <c r="AM107" s="388">
        <f t="shared" si="96"/>
        <v>0</v>
      </c>
    </row>
    <row r="108" spans="1:39" s="419" customFormat="1" ht="25.5" hidden="1" x14ac:dyDescent="0.2">
      <c r="A108" s="391" t="s">
        <v>536</v>
      </c>
      <c r="B108" s="416"/>
      <c r="C108" s="417"/>
      <c r="D108" s="417"/>
      <c r="E108" s="417"/>
      <c r="F108" s="418"/>
      <c r="G108" s="414"/>
      <c r="H108" s="414"/>
      <c r="I108" s="414"/>
      <c r="J108" s="421"/>
      <c r="K108" s="421"/>
      <c r="L108" s="421"/>
      <c r="M108" s="421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2"/>
      <c r="AC108" s="412"/>
      <c r="AD108" s="412"/>
      <c r="AE108" s="412"/>
      <c r="AF108" s="412"/>
      <c r="AG108" s="412"/>
      <c r="AH108" s="412"/>
      <c r="AI108" s="387">
        <f t="shared" si="88"/>
        <v>0</v>
      </c>
      <c r="AJ108" s="387">
        <f t="shared" si="89"/>
        <v>0</v>
      </c>
      <c r="AK108" s="387">
        <f t="shared" si="90"/>
        <v>0</v>
      </c>
      <c r="AL108" s="387">
        <f t="shared" si="95"/>
        <v>0</v>
      </c>
      <c r="AM108" s="388">
        <f t="shared" si="96"/>
        <v>0</v>
      </c>
    </row>
    <row r="109" spans="1:39" s="419" customFormat="1" ht="38.25" hidden="1" x14ac:dyDescent="0.2">
      <c r="A109" s="391" t="s">
        <v>537</v>
      </c>
      <c r="B109" s="416"/>
      <c r="C109" s="417"/>
      <c r="D109" s="417"/>
      <c r="E109" s="417"/>
      <c r="F109" s="418"/>
      <c r="G109" s="414"/>
      <c r="H109" s="414"/>
      <c r="I109" s="414"/>
      <c r="J109" s="421"/>
      <c r="K109" s="421"/>
      <c r="L109" s="421"/>
      <c r="M109" s="421"/>
      <c r="N109" s="412"/>
      <c r="O109" s="412"/>
      <c r="P109" s="412"/>
      <c r="Q109" s="412"/>
      <c r="R109" s="412"/>
      <c r="S109" s="412"/>
      <c r="T109" s="412"/>
      <c r="U109" s="412"/>
      <c r="V109" s="412"/>
      <c r="W109" s="412"/>
      <c r="X109" s="412"/>
      <c r="Y109" s="412"/>
      <c r="Z109" s="412"/>
      <c r="AA109" s="412"/>
      <c r="AB109" s="412"/>
      <c r="AC109" s="412"/>
      <c r="AD109" s="412"/>
      <c r="AE109" s="412"/>
      <c r="AF109" s="412"/>
      <c r="AG109" s="412"/>
      <c r="AH109" s="412"/>
      <c r="AI109" s="387">
        <f t="shared" si="88"/>
        <v>0</v>
      </c>
      <c r="AJ109" s="387">
        <f t="shared" si="89"/>
        <v>0</v>
      </c>
      <c r="AK109" s="387">
        <f t="shared" si="90"/>
        <v>0</v>
      </c>
      <c r="AL109" s="387">
        <f t="shared" si="95"/>
        <v>0</v>
      </c>
      <c r="AM109" s="388">
        <f t="shared" si="96"/>
        <v>0</v>
      </c>
    </row>
    <row r="110" spans="1:39" s="419" customFormat="1" ht="38.25" hidden="1" x14ac:dyDescent="0.2">
      <c r="A110" s="391" t="s">
        <v>538</v>
      </c>
      <c r="B110" s="416"/>
      <c r="C110" s="417"/>
      <c r="D110" s="417"/>
      <c r="E110" s="417"/>
      <c r="F110" s="418"/>
      <c r="G110" s="414"/>
      <c r="H110" s="414"/>
      <c r="I110" s="414"/>
      <c r="J110" s="421"/>
      <c r="K110" s="421"/>
      <c r="L110" s="421"/>
      <c r="M110" s="421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2"/>
      <c r="AC110" s="412"/>
      <c r="AD110" s="412"/>
      <c r="AE110" s="412"/>
      <c r="AF110" s="412"/>
      <c r="AG110" s="412"/>
      <c r="AH110" s="412"/>
      <c r="AI110" s="387">
        <f t="shared" si="88"/>
        <v>0</v>
      </c>
      <c r="AJ110" s="387">
        <f t="shared" si="89"/>
        <v>0</v>
      </c>
      <c r="AK110" s="387">
        <f t="shared" si="90"/>
        <v>0</v>
      </c>
      <c r="AL110" s="387">
        <f t="shared" si="95"/>
        <v>0</v>
      </c>
      <c r="AM110" s="388">
        <f t="shared" si="96"/>
        <v>0</v>
      </c>
    </row>
    <row r="111" spans="1:39" s="419" customFormat="1" ht="76.5" hidden="1" x14ac:dyDescent="0.2">
      <c r="A111" s="391" t="s">
        <v>539</v>
      </c>
      <c r="B111" s="416"/>
      <c r="C111" s="417"/>
      <c r="D111" s="417"/>
      <c r="E111" s="417"/>
      <c r="F111" s="418"/>
      <c r="G111" s="414"/>
      <c r="H111" s="414"/>
      <c r="I111" s="414"/>
      <c r="J111" s="421"/>
      <c r="K111" s="421"/>
      <c r="L111" s="421"/>
      <c r="M111" s="421"/>
      <c r="N111" s="412"/>
      <c r="O111" s="412"/>
      <c r="P111" s="412"/>
      <c r="Q111" s="412"/>
      <c r="R111" s="412"/>
      <c r="S111" s="412"/>
      <c r="T111" s="412"/>
      <c r="U111" s="412"/>
      <c r="V111" s="412"/>
      <c r="W111" s="412"/>
      <c r="X111" s="412"/>
      <c r="Y111" s="412"/>
      <c r="Z111" s="412"/>
      <c r="AA111" s="412"/>
      <c r="AB111" s="412"/>
      <c r="AC111" s="412"/>
      <c r="AD111" s="412"/>
      <c r="AE111" s="412"/>
      <c r="AF111" s="412"/>
      <c r="AG111" s="412"/>
      <c r="AH111" s="412"/>
      <c r="AI111" s="387">
        <f t="shared" si="88"/>
        <v>0</v>
      </c>
      <c r="AJ111" s="387">
        <f t="shared" si="89"/>
        <v>0</v>
      </c>
      <c r="AK111" s="387">
        <f t="shared" si="90"/>
        <v>0</v>
      </c>
      <c r="AL111" s="387">
        <f t="shared" si="95"/>
        <v>0</v>
      </c>
      <c r="AM111" s="388">
        <f t="shared" si="96"/>
        <v>0</v>
      </c>
    </row>
    <row r="112" spans="1:39" s="419" customFormat="1" ht="38.25" hidden="1" x14ac:dyDescent="0.2">
      <c r="A112" s="391" t="s">
        <v>540</v>
      </c>
      <c r="B112" s="416"/>
      <c r="C112" s="417"/>
      <c r="D112" s="417"/>
      <c r="E112" s="417"/>
      <c r="F112" s="418"/>
      <c r="G112" s="414"/>
      <c r="H112" s="414"/>
      <c r="I112" s="414"/>
      <c r="J112" s="421"/>
      <c r="K112" s="421"/>
      <c r="L112" s="421"/>
      <c r="M112" s="421"/>
      <c r="N112" s="412"/>
      <c r="O112" s="412"/>
      <c r="P112" s="412"/>
      <c r="Q112" s="412"/>
      <c r="R112" s="412"/>
      <c r="S112" s="412"/>
      <c r="T112" s="412"/>
      <c r="U112" s="412"/>
      <c r="V112" s="412"/>
      <c r="W112" s="412"/>
      <c r="X112" s="412"/>
      <c r="Y112" s="412"/>
      <c r="Z112" s="412"/>
      <c r="AA112" s="412"/>
      <c r="AB112" s="412"/>
      <c r="AC112" s="412"/>
      <c r="AD112" s="412"/>
      <c r="AE112" s="412"/>
      <c r="AF112" s="412"/>
      <c r="AG112" s="412"/>
      <c r="AH112" s="412"/>
      <c r="AI112" s="387">
        <f t="shared" si="88"/>
        <v>0</v>
      </c>
      <c r="AJ112" s="387">
        <f t="shared" si="89"/>
        <v>0</v>
      </c>
      <c r="AK112" s="387">
        <f t="shared" si="90"/>
        <v>0</v>
      </c>
      <c r="AL112" s="387">
        <f t="shared" si="95"/>
        <v>0</v>
      </c>
      <c r="AM112" s="388">
        <f t="shared" si="96"/>
        <v>0</v>
      </c>
    </row>
    <row r="113" spans="1:39" s="419" customFormat="1" ht="38.25" hidden="1" x14ac:dyDescent="0.2">
      <c r="A113" s="391" t="s">
        <v>541</v>
      </c>
      <c r="B113" s="416"/>
      <c r="C113" s="417"/>
      <c r="D113" s="417"/>
      <c r="E113" s="417"/>
      <c r="F113" s="418"/>
      <c r="G113" s="414"/>
      <c r="H113" s="414"/>
      <c r="I113" s="414"/>
      <c r="J113" s="421"/>
      <c r="K113" s="421"/>
      <c r="L113" s="421"/>
      <c r="M113" s="421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  <c r="AA113" s="412"/>
      <c r="AB113" s="412"/>
      <c r="AC113" s="412"/>
      <c r="AD113" s="412"/>
      <c r="AE113" s="412"/>
      <c r="AF113" s="412"/>
      <c r="AG113" s="412"/>
      <c r="AH113" s="412"/>
      <c r="AI113" s="387">
        <f t="shared" si="88"/>
        <v>0</v>
      </c>
      <c r="AJ113" s="387">
        <f t="shared" si="89"/>
        <v>0</v>
      </c>
      <c r="AK113" s="387">
        <f t="shared" si="90"/>
        <v>0</v>
      </c>
      <c r="AL113" s="387">
        <f t="shared" si="95"/>
        <v>0</v>
      </c>
      <c r="AM113" s="388">
        <f t="shared" si="96"/>
        <v>0</v>
      </c>
    </row>
    <row r="114" spans="1:39" s="419" customFormat="1" hidden="1" x14ac:dyDescent="0.2">
      <c r="A114" s="391" t="s">
        <v>542</v>
      </c>
      <c r="B114" s="416"/>
      <c r="C114" s="417"/>
      <c r="D114" s="417"/>
      <c r="E114" s="417"/>
      <c r="F114" s="418"/>
      <c r="G114" s="414"/>
      <c r="H114" s="414"/>
      <c r="I114" s="414"/>
      <c r="J114" s="421"/>
      <c r="K114" s="421"/>
      <c r="L114" s="421"/>
      <c r="M114" s="421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  <c r="X114" s="412"/>
      <c r="Y114" s="412"/>
      <c r="Z114" s="412"/>
      <c r="AA114" s="412"/>
      <c r="AB114" s="412"/>
      <c r="AC114" s="412"/>
      <c r="AD114" s="412"/>
      <c r="AE114" s="412"/>
      <c r="AF114" s="412"/>
      <c r="AG114" s="412"/>
      <c r="AH114" s="412"/>
      <c r="AI114" s="387">
        <f t="shared" si="88"/>
        <v>0</v>
      </c>
      <c r="AJ114" s="387">
        <f t="shared" si="89"/>
        <v>0</v>
      </c>
      <c r="AK114" s="387">
        <f t="shared" si="90"/>
        <v>0</v>
      </c>
      <c r="AL114" s="387">
        <f t="shared" si="95"/>
        <v>0</v>
      </c>
      <c r="AM114" s="388">
        <f t="shared" si="96"/>
        <v>0</v>
      </c>
    </row>
    <row r="115" spans="1:39" s="419" customFormat="1" ht="25.5" hidden="1" x14ac:dyDescent="0.2">
      <c r="A115" s="391" t="s">
        <v>543</v>
      </c>
      <c r="B115" s="416"/>
      <c r="C115" s="417"/>
      <c r="D115" s="417"/>
      <c r="E115" s="417"/>
      <c r="F115" s="418"/>
      <c r="G115" s="414"/>
      <c r="H115" s="414"/>
      <c r="I115" s="414"/>
      <c r="J115" s="421"/>
      <c r="K115" s="421"/>
      <c r="L115" s="421"/>
      <c r="M115" s="421"/>
      <c r="N115" s="412"/>
      <c r="O115" s="412"/>
      <c r="P115" s="412"/>
      <c r="Q115" s="412"/>
      <c r="R115" s="412"/>
      <c r="S115" s="412"/>
      <c r="T115" s="412"/>
      <c r="U115" s="412"/>
      <c r="V115" s="412"/>
      <c r="W115" s="412"/>
      <c r="X115" s="412"/>
      <c r="Y115" s="412"/>
      <c r="Z115" s="412"/>
      <c r="AA115" s="412"/>
      <c r="AB115" s="412"/>
      <c r="AC115" s="412"/>
      <c r="AD115" s="412"/>
      <c r="AE115" s="412"/>
      <c r="AF115" s="412"/>
      <c r="AG115" s="412"/>
      <c r="AH115" s="412"/>
      <c r="AI115" s="387">
        <f t="shared" si="88"/>
        <v>0</v>
      </c>
      <c r="AJ115" s="387">
        <f t="shared" si="89"/>
        <v>0</v>
      </c>
      <c r="AK115" s="387">
        <f t="shared" si="90"/>
        <v>0</v>
      </c>
      <c r="AL115" s="387">
        <f t="shared" si="95"/>
        <v>0</v>
      </c>
      <c r="AM115" s="388">
        <f t="shared" si="96"/>
        <v>0</v>
      </c>
    </row>
    <row r="116" spans="1:39" s="419" customFormat="1" ht="29.25" hidden="1" customHeight="1" x14ac:dyDescent="0.2">
      <c r="A116" s="391" t="s">
        <v>544</v>
      </c>
      <c r="B116" s="416"/>
      <c r="C116" s="417"/>
      <c r="D116" s="417"/>
      <c r="E116" s="417"/>
      <c r="F116" s="418"/>
      <c r="G116" s="414"/>
      <c r="H116" s="414"/>
      <c r="I116" s="414"/>
      <c r="J116" s="421"/>
      <c r="K116" s="421"/>
      <c r="L116" s="421"/>
      <c r="M116" s="421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387">
        <f t="shared" si="88"/>
        <v>0</v>
      </c>
      <c r="AJ116" s="387">
        <f t="shared" si="89"/>
        <v>0</v>
      </c>
      <c r="AK116" s="387">
        <f t="shared" si="90"/>
        <v>0</v>
      </c>
      <c r="AL116" s="387">
        <f t="shared" si="95"/>
        <v>0</v>
      </c>
      <c r="AM116" s="388">
        <f t="shared" si="96"/>
        <v>0</v>
      </c>
    </row>
    <row r="117" spans="1:39" s="419" customFormat="1" ht="25.5" hidden="1" x14ac:dyDescent="0.2">
      <c r="A117" s="391" t="s">
        <v>545</v>
      </c>
      <c r="B117" s="416"/>
      <c r="C117" s="417"/>
      <c r="D117" s="417"/>
      <c r="E117" s="417"/>
      <c r="F117" s="418"/>
      <c r="G117" s="414"/>
      <c r="H117" s="414"/>
      <c r="I117" s="414"/>
      <c r="J117" s="421"/>
      <c r="K117" s="421"/>
      <c r="L117" s="421"/>
      <c r="M117" s="421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  <c r="X117" s="412"/>
      <c r="Y117" s="412"/>
      <c r="Z117" s="412"/>
      <c r="AA117" s="412"/>
      <c r="AB117" s="412"/>
      <c r="AC117" s="412"/>
      <c r="AD117" s="412"/>
      <c r="AE117" s="412"/>
      <c r="AF117" s="412"/>
      <c r="AG117" s="412"/>
      <c r="AH117" s="412"/>
      <c r="AI117" s="387">
        <f t="shared" si="88"/>
        <v>0</v>
      </c>
      <c r="AJ117" s="387">
        <f t="shared" si="89"/>
        <v>0</v>
      </c>
      <c r="AK117" s="387">
        <f t="shared" si="90"/>
        <v>0</v>
      </c>
      <c r="AL117" s="387">
        <f t="shared" si="95"/>
        <v>0</v>
      </c>
      <c r="AM117" s="388">
        <f t="shared" si="96"/>
        <v>0</v>
      </c>
    </row>
    <row r="118" spans="1:39" s="419" customFormat="1" ht="38.25" hidden="1" x14ac:dyDescent="0.2">
      <c r="A118" s="391" t="s">
        <v>546</v>
      </c>
      <c r="B118" s="416"/>
      <c r="C118" s="417"/>
      <c r="D118" s="417"/>
      <c r="E118" s="417"/>
      <c r="F118" s="418"/>
      <c r="G118" s="414"/>
      <c r="H118" s="414"/>
      <c r="I118" s="414"/>
      <c r="J118" s="421"/>
      <c r="K118" s="421"/>
      <c r="L118" s="421"/>
      <c r="M118" s="421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  <c r="X118" s="412"/>
      <c r="Y118" s="412"/>
      <c r="Z118" s="412"/>
      <c r="AA118" s="412"/>
      <c r="AB118" s="412"/>
      <c r="AC118" s="412"/>
      <c r="AD118" s="412"/>
      <c r="AE118" s="412"/>
      <c r="AF118" s="412"/>
      <c r="AG118" s="412"/>
      <c r="AH118" s="412"/>
      <c r="AI118" s="387">
        <f t="shared" si="88"/>
        <v>0</v>
      </c>
      <c r="AJ118" s="387">
        <f t="shared" si="89"/>
        <v>0</v>
      </c>
      <c r="AK118" s="387">
        <f t="shared" si="90"/>
        <v>0</v>
      </c>
      <c r="AL118" s="387">
        <f t="shared" si="95"/>
        <v>0</v>
      </c>
      <c r="AM118" s="388">
        <f t="shared" si="96"/>
        <v>0</v>
      </c>
    </row>
    <row r="119" spans="1:39" s="419" customFormat="1" ht="25.5" hidden="1" x14ac:dyDescent="0.2">
      <c r="A119" s="391" t="s">
        <v>547</v>
      </c>
      <c r="B119" s="416"/>
      <c r="C119" s="417"/>
      <c r="D119" s="417"/>
      <c r="E119" s="530">
        <v>3800.5369999999998</v>
      </c>
      <c r="F119" s="418"/>
      <c r="G119" s="414"/>
      <c r="H119" s="414"/>
      <c r="I119" s="414"/>
      <c r="J119" s="421"/>
      <c r="K119" s="421"/>
      <c r="L119" s="421"/>
      <c r="M119" s="421"/>
      <c r="N119" s="412"/>
      <c r="O119" s="412"/>
      <c r="P119" s="412"/>
      <c r="Q119" s="412"/>
      <c r="R119" s="412"/>
      <c r="S119" s="412"/>
      <c r="T119" s="412"/>
      <c r="U119" s="412"/>
      <c r="V119" s="412"/>
      <c r="W119" s="412"/>
      <c r="X119" s="412"/>
      <c r="Y119" s="412"/>
      <c r="Z119" s="412"/>
      <c r="AA119" s="412"/>
      <c r="AB119" s="412"/>
      <c r="AC119" s="412"/>
      <c r="AD119" s="412"/>
      <c r="AE119" s="412"/>
      <c r="AF119" s="412"/>
      <c r="AG119" s="412"/>
      <c r="AH119" s="412"/>
      <c r="AI119" s="387">
        <f t="shared" si="88"/>
        <v>0</v>
      </c>
      <c r="AJ119" s="387">
        <f t="shared" si="89"/>
        <v>0</v>
      </c>
      <c r="AK119" s="387">
        <f t="shared" si="90"/>
        <v>3800.5369999999998</v>
      </c>
      <c r="AL119" s="387">
        <f t="shared" si="95"/>
        <v>0</v>
      </c>
      <c r="AM119" s="388">
        <f t="shared" si="96"/>
        <v>0</v>
      </c>
    </row>
    <row r="120" spans="1:39" s="419" customFormat="1" ht="25.5" hidden="1" x14ac:dyDescent="0.2">
      <c r="A120" s="391" t="s">
        <v>548</v>
      </c>
      <c r="B120" s="416"/>
      <c r="C120" s="417"/>
      <c r="D120" s="417"/>
      <c r="E120" s="530">
        <v>92116.566999999995</v>
      </c>
      <c r="F120" s="394"/>
      <c r="G120" s="395"/>
      <c r="H120" s="395"/>
      <c r="I120" s="395"/>
      <c r="J120" s="421"/>
      <c r="K120" s="421"/>
      <c r="L120" s="421"/>
      <c r="M120" s="421"/>
      <c r="N120" s="412"/>
      <c r="O120" s="412"/>
      <c r="P120" s="412"/>
      <c r="Q120" s="412"/>
      <c r="R120" s="412"/>
      <c r="S120" s="412"/>
      <c r="T120" s="412"/>
      <c r="U120" s="412"/>
      <c r="V120" s="412"/>
      <c r="W120" s="412"/>
      <c r="X120" s="412"/>
      <c r="Y120" s="412"/>
      <c r="Z120" s="412"/>
      <c r="AA120" s="412"/>
      <c r="AB120" s="412"/>
      <c r="AC120" s="412"/>
      <c r="AD120" s="412"/>
      <c r="AE120" s="412"/>
      <c r="AF120" s="412"/>
      <c r="AG120" s="412"/>
      <c r="AH120" s="412"/>
      <c r="AI120" s="387">
        <f t="shared" si="88"/>
        <v>0</v>
      </c>
      <c r="AJ120" s="387">
        <f t="shared" si="89"/>
        <v>0</v>
      </c>
      <c r="AK120" s="387">
        <f t="shared" si="90"/>
        <v>92116.566999999995</v>
      </c>
      <c r="AL120" s="387">
        <f t="shared" si="95"/>
        <v>0</v>
      </c>
      <c r="AM120" s="388">
        <f t="shared" si="96"/>
        <v>0</v>
      </c>
    </row>
    <row r="121" spans="1:39" s="419" customFormat="1" ht="51" hidden="1" x14ac:dyDescent="0.2">
      <c r="A121" s="391" t="s">
        <v>549</v>
      </c>
      <c r="B121" s="416"/>
      <c r="C121" s="417"/>
      <c r="D121" s="417"/>
      <c r="E121" s="417"/>
      <c r="F121" s="418"/>
      <c r="G121" s="414"/>
      <c r="H121" s="414"/>
      <c r="I121" s="414"/>
      <c r="J121" s="421"/>
      <c r="K121" s="421"/>
      <c r="L121" s="421"/>
      <c r="M121" s="421"/>
      <c r="N121" s="412"/>
      <c r="O121" s="412"/>
      <c r="P121" s="412"/>
      <c r="Q121" s="412"/>
      <c r="R121" s="412"/>
      <c r="S121" s="412"/>
      <c r="T121" s="412"/>
      <c r="U121" s="412"/>
      <c r="V121" s="412"/>
      <c r="W121" s="412"/>
      <c r="X121" s="412"/>
      <c r="Y121" s="412"/>
      <c r="Z121" s="412"/>
      <c r="AA121" s="412"/>
      <c r="AB121" s="412"/>
      <c r="AC121" s="412"/>
      <c r="AD121" s="412"/>
      <c r="AE121" s="412"/>
      <c r="AF121" s="412"/>
      <c r="AG121" s="412"/>
      <c r="AH121" s="412"/>
      <c r="AI121" s="387">
        <f t="shared" si="88"/>
        <v>0</v>
      </c>
      <c r="AJ121" s="387">
        <f t="shared" si="89"/>
        <v>0</v>
      </c>
      <c r="AK121" s="387">
        <f t="shared" si="90"/>
        <v>0</v>
      </c>
      <c r="AL121" s="387">
        <f t="shared" si="95"/>
        <v>0</v>
      </c>
      <c r="AM121" s="388">
        <f t="shared" si="96"/>
        <v>0</v>
      </c>
    </row>
    <row r="122" spans="1:39" s="419" customFormat="1" ht="55.5" hidden="1" customHeight="1" x14ac:dyDescent="0.2">
      <c r="A122" s="391" t="s">
        <v>550</v>
      </c>
      <c r="B122" s="416"/>
      <c r="C122" s="417"/>
      <c r="D122" s="417"/>
      <c r="E122" s="530">
        <v>46799.974999999999</v>
      </c>
      <c r="F122" s="449"/>
      <c r="G122" s="450"/>
      <c r="H122" s="450"/>
      <c r="I122" s="450"/>
      <c r="J122" s="446"/>
      <c r="K122" s="446"/>
      <c r="L122" s="446"/>
      <c r="M122" s="446"/>
      <c r="N122" s="446"/>
      <c r="O122" s="446"/>
      <c r="P122" s="446"/>
      <c r="Q122" s="446"/>
      <c r="R122" s="412"/>
      <c r="S122" s="412"/>
      <c r="T122" s="412"/>
      <c r="U122" s="412"/>
      <c r="V122" s="412"/>
      <c r="W122" s="412"/>
      <c r="X122" s="412"/>
      <c r="Y122" s="412"/>
      <c r="Z122" s="412"/>
      <c r="AA122" s="412"/>
      <c r="AB122" s="412"/>
      <c r="AC122" s="412"/>
      <c r="AD122" s="412"/>
      <c r="AE122" s="412"/>
      <c r="AF122" s="412"/>
      <c r="AG122" s="412"/>
      <c r="AH122" s="412"/>
      <c r="AI122" s="387">
        <f t="shared" si="88"/>
        <v>0</v>
      </c>
      <c r="AJ122" s="387">
        <f t="shared" si="89"/>
        <v>0</v>
      </c>
      <c r="AK122" s="387">
        <f t="shared" si="90"/>
        <v>46799.974999999999</v>
      </c>
      <c r="AL122" s="387">
        <f t="shared" si="95"/>
        <v>0</v>
      </c>
      <c r="AM122" s="388">
        <f t="shared" si="96"/>
        <v>0</v>
      </c>
    </row>
    <row r="123" spans="1:39" s="404" customFormat="1" ht="20.25" customHeight="1" x14ac:dyDescent="0.25">
      <c r="A123" s="399" t="s">
        <v>1138</v>
      </c>
      <c r="B123" s="400" t="s">
        <v>105</v>
      </c>
      <c r="C123" s="451">
        <f>+C61+C93+C103</f>
        <v>186500</v>
      </c>
      <c r="D123" s="451">
        <f>+D61+D93+D103</f>
        <v>186500</v>
      </c>
      <c r="E123" s="451">
        <v>142717.079</v>
      </c>
      <c r="F123" s="451">
        <v>186500</v>
      </c>
      <c r="G123" s="452"/>
      <c r="H123" s="452"/>
      <c r="I123" s="452"/>
      <c r="J123" s="453">
        <v>0</v>
      </c>
      <c r="K123" s="453"/>
      <c r="L123" s="453"/>
      <c r="M123" s="453"/>
      <c r="N123" s="453">
        <v>0</v>
      </c>
      <c r="O123" s="453"/>
      <c r="P123" s="453"/>
      <c r="Q123" s="453"/>
      <c r="R123" s="453">
        <v>0</v>
      </c>
      <c r="S123" s="453"/>
      <c r="T123" s="453"/>
      <c r="U123" s="453"/>
      <c r="V123" s="453">
        <v>0</v>
      </c>
      <c r="W123" s="453"/>
      <c r="X123" s="453"/>
      <c r="Y123" s="453"/>
      <c r="Z123" s="453">
        <v>0</v>
      </c>
      <c r="AA123" s="453"/>
      <c r="AB123" s="453"/>
      <c r="AC123" s="453"/>
      <c r="AD123" s="453">
        <v>0</v>
      </c>
      <c r="AE123" s="453"/>
      <c r="AF123" s="453"/>
      <c r="AG123" s="453"/>
      <c r="AH123" s="453">
        <v>0</v>
      </c>
      <c r="AI123" s="409">
        <f t="shared" si="88"/>
        <v>186500</v>
      </c>
      <c r="AJ123" s="409">
        <f t="shared" si="89"/>
        <v>186500</v>
      </c>
      <c r="AK123" s="409">
        <f t="shared" si="90"/>
        <v>142717.079</v>
      </c>
      <c r="AL123" s="409">
        <f>F123+J123+N123+R123+V123+Z123+AD123+AH123</f>
        <v>186500</v>
      </c>
      <c r="AM123" s="388">
        <f>J123+N123+R123+V123+Z123+AD123+AH123</f>
        <v>0</v>
      </c>
    </row>
    <row r="124" spans="1:39" hidden="1" x14ac:dyDescent="0.2">
      <c r="A124" s="380" t="s">
        <v>1139</v>
      </c>
      <c r="B124" s="381"/>
      <c r="C124" s="382"/>
      <c r="D124" s="382"/>
      <c r="E124" s="382"/>
      <c r="F124" s="383"/>
      <c r="G124" s="384"/>
      <c r="H124" s="384"/>
      <c r="I124" s="384"/>
      <c r="J124" s="385"/>
      <c r="K124" s="385"/>
      <c r="L124" s="385"/>
      <c r="M124" s="385"/>
      <c r="N124" s="386"/>
      <c r="O124" s="386"/>
      <c r="P124" s="386"/>
      <c r="Q124" s="386"/>
      <c r="R124" s="386"/>
      <c r="S124" s="386"/>
      <c r="T124" s="386"/>
      <c r="U124" s="386"/>
      <c r="V124" s="386"/>
      <c r="W124" s="386"/>
      <c r="X124" s="386"/>
      <c r="Y124" s="386"/>
      <c r="Z124" s="386"/>
      <c r="AA124" s="386"/>
      <c r="AB124" s="386"/>
      <c r="AC124" s="386"/>
      <c r="AD124" s="386"/>
      <c r="AE124" s="386"/>
      <c r="AF124" s="386"/>
      <c r="AG124" s="386"/>
      <c r="AH124" s="386"/>
      <c r="AI124" s="387">
        <f t="shared" si="88"/>
        <v>0</v>
      </c>
      <c r="AJ124" s="387">
        <f t="shared" si="89"/>
        <v>0</v>
      </c>
      <c r="AK124" s="387">
        <f t="shared" si="90"/>
        <v>0</v>
      </c>
      <c r="AL124" s="387">
        <f t="shared" ref="AL124:AL128" si="97">F124+J124+N124+R124+V124+Z124+AD124+AH124</f>
        <v>0</v>
      </c>
      <c r="AM124" s="388">
        <f t="shared" ref="AM124:AM128" si="98">J124+N124+R124+V124+Z124+AD124+AH124</f>
        <v>0</v>
      </c>
    </row>
    <row r="125" spans="1:39" s="419" customFormat="1" hidden="1" x14ac:dyDescent="0.2">
      <c r="A125" s="391" t="s">
        <v>551</v>
      </c>
      <c r="B125" s="416"/>
      <c r="C125" s="417"/>
      <c r="D125" s="417"/>
      <c r="E125" s="417"/>
      <c r="F125" s="418"/>
      <c r="G125" s="414"/>
      <c r="H125" s="414"/>
      <c r="I125" s="414"/>
      <c r="J125" s="454"/>
      <c r="K125" s="454"/>
      <c r="L125" s="454"/>
      <c r="M125" s="454"/>
      <c r="N125" s="397"/>
      <c r="O125" s="397"/>
      <c r="P125" s="397"/>
      <c r="Q125" s="397"/>
      <c r="R125" s="397"/>
      <c r="S125" s="397"/>
      <c r="T125" s="397"/>
      <c r="U125" s="397"/>
      <c r="V125" s="397"/>
      <c r="W125" s="397"/>
      <c r="X125" s="397"/>
      <c r="Y125" s="397"/>
      <c r="Z125" s="397"/>
      <c r="AA125" s="397"/>
      <c r="AB125" s="397"/>
      <c r="AC125" s="397"/>
      <c r="AD125" s="397"/>
      <c r="AE125" s="397"/>
      <c r="AF125" s="397"/>
      <c r="AG125" s="397"/>
      <c r="AH125" s="397"/>
      <c r="AI125" s="387">
        <f t="shared" si="88"/>
        <v>0</v>
      </c>
      <c r="AJ125" s="387">
        <f t="shared" si="89"/>
        <v>0</v>
      </c>
      <c r="AK125" s="387">
        <f t="shared" si="90"/>
        <v>0</v>
      </c>
      <c r="AL125" s="387">
        <f t="shared" si="97"/>
        <v>0</v>
      </c>
      <c r="AM125" s="388">
        <f t="shared" si="98"/>
        <v>0</v>
      </c>
    </row>
    <row r="126" spans="1:39" s="455" customFormat="1" ht="44.25" customHeight="1" x14ac:dyDescent="0.25">
      <c r="A126" s="380" t="s">
        <v>552</v>
      </c>
      <c r="B126" s="381"/>
      <c r="C126" s="382">
        <v>10000</v>
      </c>
      <c r="D126" s="382">
        <v>10000</v>
      </c>
      <c r="E126" s="382">
        <v>948.74</v>
      </c>
      <c r="F126" s="383">
        <v>10000</v>
      </c>
      <c r="G126" s="384"/>
      <c r="H126" s="384"/>
      <c r="I126" s="384"/>
      <c r="J126" s="385"/>
      <c r="K126" s="385"/>
      <c r="L126" s="385"/>
      <c r="M126" s="385"/>
      <c r="N126" s="386"/>
      <c r="O126" s="386"/>
      <c r="P126" s="386"/>
      <c r="Q126" s="386"/>
      <c r="R126" s="386"/>
      <c r="S126" s="386"/>
      <c r="T126" s="386"/>
      <c r="U126" s="386"/>
      <c r="V126" s="386"/>
      <c r="W126" s="386"/>
      <c r="X126" s="386"/>
      <c r="Y126" s="386"/>
      <c r="Z126" s="386"/>
      <c r="AA126" s="386"/>
      <c r="AB126" s="386"/>
      <c r="AC126" s="386"/>
      <c r="AD126" s="386"/>
      <c r="AE126" s="386"/>
      <c r="AF126" s="386"/>
      <c r="AG126" s="386"/>
      <c r="AH126" s="386"/>
      <c r="AI126" s="387">
        <f t="shared" si="88"/>
        <v>10000</v>
      </c>
      <c r="AJ126" s="387">
        <f t="shared" si="89"/>
        <v>10000</v>
      </c>
      <c r="AK126" s="387">
        <f t="shared" si="90"/>
        <v>948.74</v>
      </c>
      <c r="AL126" s="387">
        <f t="shared" si="97"/>
        <v>10000</v>
      </c>
      <c r="AM126" s="388">
        <f t="shared" si="98"/>
        <v>0</v>
      </c>
    </row>
    <row r="127" spans="1:39" s="455" customFormat="1" ht="25.5" x14ac:dyDescent="0.25">
      <c r="A127" s="380" t="s">
        <v>553</v>
      </c>
      <c r="B127" s="381"/>
      <c r="C127" s="382">
        <v>412078</v>
      </c>
      <c r="D127" s="382">
        <v>412078</v>
      </c>
      <c r="E127" s="382">
        <v>410739.66700000002</v>
      </c>
      <c r="F127" s="383">
        <v>412078</v>
      </c>
      <c r="G127" s="384"/>
      <c r="H127" s="384"/>
      <c r="I127" s="384"/>
      <c r="J127" s="385"/>
      <c r="K127" s="385"/>
      <c r="L127" s="385"/>
      <c r="M127" s="385"/>
      <c r="N127" s="386"/>
      <c r="O127" s="386"/>
      <c r="P127" s="386"/>
      <c r="Q127" s="386"/>
      <c r="R127" s="386"/>
      <c r="S127" s="386"/>
      <c r="T127" s="386"/>
      <c r="U127" s="386"/>
      <c r="V127" s="386"/>
      <c r="W127" s="386"/>
      <c r="X127" s="386"/>
      <c r="Y127" s="386"/>
      <c r="Z127" s="386"/>
      <c r="AA127" s="386"/>
      <c r="AB127" s="386"/>
      <c r="AC127" s="386"/>
      <c r="AD127" s="386"/>
      <c r="AE127" s="386"/>
      <c r="AF127" s="386"/>
      <c r="AG127" s="386"/>
      <c r="AH127" s="386"/>
      <c r="AI127" s="387">
        <f t="shared" si="88"/>
        <v>412078</v>
      </c>
      <c r="AJ127" s="387">
        <f t="shared" si="89"/>
        <v>412078</v>
      </c>
      <c r="AK127" s="387">
        <f t="shared" si="90"/>
        <v>410739.66700000002</v>
      </c>
      <c r="AL127" s="387">
        <f t="shared" si="97"/>
        <v>412078</v>
      </c>
      <c r="AM127" s="388">
        <f t="shared" si="98"/>
        <v>0</v>
      </c>
    </row>
    <row r="128" spans="1:39" s="455" customFormat="1" x14ac:dyDescent="0.25">
      <c r="A128" s="380" t="s">
        <v>554</v>
      </c>
      <c r="B128" s="381"/>
      <c r="C128" s="382"/>
      <c r="D128" s="382"/>
      <c r="E128" s="382"/>
      <c r="F128" s="383"/>
      <c r="G128" s="384"/>
      <c r="H128" s="384"/>
      <c r="I128" s="384"/>
      <c r="J128" s="456"/>
      <c r="K128" s="456"/>
      <c r="L128" s="456"/>
      <c r="M128" s="456"/>
      <c r="N128" s="456"/>
      <c r="O128" s="456"/>
      <c r="P128" s="456"/>
      <c r="Q128" s="456"/>
      <c r="R128" s="386"/>
      <c r="S128" s="386"/>
      <c r="T128" s="386"/>
      <c r="U128" s="386"/>
      <c r="V128" s="386"/>
      <c r="W128" s="386"/>
      <c r="X128" s="386"/>
      <c r="Y128" s="386"/>
      <c r="Z128" s="386"/>
      <c r="AA128" s="386"/>
      <c r="AB128" s="386"/>
      <c r="AC128" s="386"/>
      <c r="AD128" s="386"/>
      <c r="AE128" s="386"/>
      <c r="AF128" s="386"/>
      <c r="AG128" s="386"/>
      <c r="AH128" s="386"/>
      <c r="AI128" s="387">
        <f t="shared" si="88"/>
        <v>0</v>
      </c>
      <c r="AJ128" s="387">
        <f t="shared" si="89"/>
        <v>0</v>
      </c>
      <c r="AK128" s="387">
        <f t="shared" si="90"/>
        <v>0</v>
      </c>
      <c r="AL128" s="387">
        <f t="shared" si="97"/>
        <v>0</v>
      </c>
      <c r="AM128" s="388">
        <f t="shared" si="98"/>
        <v>0</v>
      </c>
    </row>
    <row r="129" spans="1:39" s="426" customFormat="1" x14ac:dyDescent="0.25">
      <c r="A129" s="425" t="s">
        <v>1140</v>
      </c>
      <c r="C129" s="428">
        <f>+C126+C127+C128</f>
        <v>422078</v>
      </c>
      <c r="D129" s="428">
        <f>+D126+D127+D128</f>
        <v>422078</v>
      </c>
      <c r="E129" s="428">
        <v>411688.40700000001</v>
      </c>
      <c r="F129" s="428">
        <v>422078</v>
      </c>
      <c r="G129" s="457"/>
      <c r="H129" s="457"/>
      <c r="I129" s="457"/>
      <c r="J129" s="458">
        <v>0</v>
      </c>
      <c r="K129" s="458"/>
      <c r="L129" s="458"/>
      <c r="M129" s="458"/>
      <c r="N129" s="458">
        <v>0</v>
      </c>
      <c r="O129" s="458"/>
      <c r="P129" s="458"/>
      <c r="Q129" s="458"/>
      <c r="R129" s="458">
        <v>0</v>
      </c>
      <c r="S129" s="458"/>
      <c r="T129" s="458"/>
      <c r="U129" s="458"/>
      <c r="V129" s="458">
        <v>0</v>
      </c>
      <c r="W129" s="458"/>
      <c r="X129" s="458"/>
      <c r="Y129" s="458"/>
      <c r="Z129" s="458">
        <v>0</v>
      </c>
      <c r="AA129" s="458"/>
      <c r="AB129" s="458"/>
      <c r="AC129" s="458"/>
      <c r="AD129" s="458">
        <v>0</v>
      </c>
      <c r="AE129" s="458"/>
      <c r="AF129" s="458"/>
      <c r="AG129" s="458"/>
      <c r="AH129" s="458">
        <v>0</v>
      </c>
      <c r="AI129" s="387">
        <f t="shared" si="88"/>
        <v>422078</v>
      </c>
      <c r="AJ129" s="387">
        <f t="shared" si="89"/>
        <v>422078</v>
      </c>
      <c r="AK129" s="387">
        <f t="shared" si="90"/>
        <v>411688.40700000001</v>
      </c>
      <c r="AL129" s="387">
        <f>F129+J129+N129+R129+V129+Z129+AD129+AH129</f>
        <v>422078</v>
      </c>
      <c r="AM129" s="388">
        <f>J129+N129+R129+V129+Z129+AD129+AH129</f>
        <v>0</v>
      </c>
    </row>
    <row r="130" spans="1:39" s="455" customFormat="1" ht="38.25" hidden="1" x14ac:dyDescent="0.25">
      <c r="A130" s="380" t="s">
        <v>555</v>
      </c>
      <c r="B130" s="381"/>
      <c r="C130" s="382"/>
      <c r="D130" s="382"/>
      <c r="E130" s="382"/>
      <c r="F130" s="459"/>
      <c r="G130" s="460"/>
      <c r="H130" s="460"/>
      <c r="I130" s="460"/>
      <c r="J130" s="461"/>
      <c r="K130" s="461"/>
      <c r="L130" s="461"/>
      <c r="M130" s="461"/>
      <c r="N130" s="461"/>
      <c r="O130" s="461"/>
      <c r="P130" s="461"/>
      <c r="Q130" s="461"/>
      <c r="R130" s="386"/>
      <c r="S130" s="386"/>
      <c r="T130" s="386"/>
      <c r="U130" s="386"/>
      <c r="V130" s="386"/>
      <c r="W130" s="386"/>
      <c r="X130" s="386"/>
      <c r="Y130" s="386"/>
      <c r="Z130" s="386"/>
      <c r="AA130" s="386"/>
      <c r="AB130" s="386"/>
      <c r="AC130" s="386"/>
      <c r="AD130" s="386"/>
      <c r="AE130" s="386"/>
      <c r="AF130" s="386"/>
      <c r="AG130" s="386"/>
      <c r="AH130" s="386"/>
      <c r="AI130" s="387">
        <f t="shared" si="88"/>
        <v>0</v>
      </c>
      <c r="AJ130" s="387">
        <f t="shared" si="89"/>
        <v>0</v>
      </c>
      <c r="AK130" s="387">
        <f t="shared" si="90"/>
        <v>0</v>
      </c>
      <c r="AL130" s="387">
        <f t="shared" ref="AL130:AL193" si="99">F130+J130+N130+R130+V130+Z130+AD130+AH130</f>
        <v>0</v>
      </c>
      <c r="AM130" s="388">
        <f t="shared" ref="AM130:AM193" si="100">J130+N130+R130+V130+Z130+AD130+AH130</f>
        <v>0</v>
      </c>
    </row>
    <row r="131" spans="1:39" s="426" customFormat="1" ht="51" hidden="1" x14ac:dyDescent="0.25">
      <c r="A131" s="425" t="s">
        <v>556</v>
      </c>
      <c r="C131" s="427"/>
      <c r="D131" s="427"/>
      <c r="E131" s="427"/>
      <c r="F131" s="462">
        <v>0</v>
      </c>
      <c r="G131" s="463"/>
      <c r="H131" s="463"/>
      <c r="I131" s="463"/>
      <c r="J131" s="464">
        <v>0</v>
      </c>
      <c r="K131" s="464"/>
      <c r="L131" s="464"/>
      <c r="M131" s="464"/>
      <c r="N131" s="464">
        <v>0</v>
      </c>
      <c r="O131" s="464"/>
      <c r="P131" s="464"/>
      <c r="Q131" s="464"/>
      <c r="R131" s="464">
        <v>0</v>
      </c>
      <c r="S131" s="464"/>
      <c r="T131" s="464"/>
      <c r="U131" s="464"/>
      <c r="V131" s="464">
        <v>0</v>
      </c>
      <c r="W131" s="464"/>
      <c r="X131" s="464"/>
      <c r="Y131" s="464"/>
      <c r="Z131" s="464">
        <v>0</v>
      </c>
      <c r="AA131" s="464"/>
      <c r="AB131" s="464"/>
      <c r="AC131" s="464"/>
      <c r="AD131" s="464">
        <v>0</v>
      </c>
      <c r="AE131" s="464"/>
      <c r="AF131" s="464"/>
      <c r="AG131" s="464"/>
      <c r="AH131" s="464">
        <v>0</v>
      </c>
      <c r="AI131" s="387">
        <f t="shared" si="88"/>
        <v>0</v>
      </c>
      <c r="AJ131" s="387">
        <f t="shared" si="89"/>
        <v>0</v>
      </c>
      <c r="AK131" s="387">
        <f t="shared" si="90"/>
        <v>0</v>
      </c>
      <c r="AL131" s="387">
        <f t="shared" si="99"/>
        <v>0</v>
      </c>
      <c r="AM131" s="388">
        <f t="shared" si="100"/>
        <v>0</v>
      </c>
    </row>
    <row r="132" spans="1:39" s="465" customFormat="1" ht="25.5" hidden="1" x14ac:dyDescent="0.2">
      <c r="A132" s="391" t="s">
        <v>557</v>
      </c>
      <c r="B132" s="416"/>
      <c r="C132" s="417"/>
      <c r="D132" s="417"/>
      <c r="E132" s="417"/>
      <c r="F132" s="394"/>
      <c r="G132" s="395"/>
      <c r="H132" s="395"/>
      <c r="I132" s="395"/>
      <c r="J132" s="454"/>
      <c r="K132" s="454"/>
      <c r="L132" s="454"/>
      <c r="M132" s="454"/>
      <c r="N132" s="397"/>
      <c r="O132" s="397"/>
      <c r="P132" s="397"/>
      <c r="Q132" s="397"/>
      <c r="R132" s="397"/>
      <c r="S132" s="397"/>
      <c r="T132" s="397"/>
      <c r="U132" s="397"/>
      <c r="V132" s="397"/>
      <c r="W132" s="397"/>
      <c r="X132" s="397"/>
      <c r="Y132" s="397"/>
      <c r="Z132" s="397"/>
      <c r="AA132" s="397"/>
      <c r="AB132" s="397"/>
      <c r="AC132" s="397"/>
      <c r="AD132" s="397"/>
      <c r="AE132" s="397"/>
      <c r="AF132" s="397"/>
      <c r="AG132" s="397"/>
      <c r="AH132" s="397"/>
      <c r="AI132" s="387">
        <f t="shared" si="88"/>
        <v>0</v>
      </c>
      <c r="AJ132" s="387">
        <f t="shared" si="89"/>
        <v>0</v>
      </c>
      <c r="AK132" s="387">
        <f t="shared" si="90"/>
        <v>0</v>
      </c>
      <c r="AL132" s="387">
        <f t="shared" si="99"/>
        <v>0</v>
      </c>
      <c r="AM132" s="388">
        <f t="shared" si="100"/>
        <v>0</v>
      </c>
    </row>
    <row r="133" spans="1:39" s="419" customFormat="1" ht="25.5" hidden="1" x14ac:dyDescent="0.2">
      <c r="A133" s="391" t="s">
        <v>558</v>
      </c>
      <c r="B133" s="416"/>
      <c r="C133" s="417"/>
      <c r="D133" s="417"/>
      <c r="E133" s="417"/>
      <c r="F133" s="418"/>
      <c r="G133" s="414"/>
      <c r="H133" s="414"/>
      <c r="I133" s="414"/>
      <c r="J133" s="454"/>
      <c r="K133" s="454"/>
      <c r="L133" s="454"/>
      <c r="M133" s="454"/>
      <c r="N133" s="397"/>
      <c r="O133" s="397"/>
      <c r="P133" s="397"/>
      <c r="Q133" s="397"/>
      <c r="R133" s="397"/>
      <c r="S133" s="397"/>
      <c r="T133" s="397"/>
      <c r="U133" s="397"/>
      <c r="V133" s="397"/>
      <c r="W133" s="397"/>
      <c r="X133" s="397"/>
      <c r="Y133" s="397"/>
      <c r="Z133" s="397"/>
      <c r="AA133" s="397"/>
      <c r="AB133" s="397"/>
      <c r="AC133" s="397"/>
      <c r="AD133" s="397"/>
      <c r="AE133" s="397"/>
      <c r="AF133" s="397"/>
      <c r="AG133" s="397"/>
      <c r="AH133" s="397"/>
      <c r="AI133" s="387">
        <f t="shared" si="88"/>
        <v>0</v>
      </c>
      <c r="AJ133" s="387">
        <f t="shared" si="89"/>
        <v>0</v>
      </c>
      <c r="AK133" s="387">
        <f t="shared" si="90"/>
        <v>0</v>
      </c>
      <c r="AL133" s="387">
        <f t="shared" si="99"/>
        <v>0</v>
      </c>
      <c r="AM133" s="388">
        <f t="shared" si="100"/>
        <v>0</v>
      </c>
    </row>
    <row r="134" spans="1:39" s="419" customFormat="1" ht="38.25" hidden="1" x14ac:dyDescent="0.2">
      <c r="A134" s="391" t="s">
        <v>559</v>
      </c>
      <c r="B134" s="416"/>
      <c r="C134" s="417"/>
      <c r="D134" s="417"/>
      <c r="E134" s="417"/>
      <c r="F134" s="394"/>
      <c r="G134" s="395"/>
      <c r="H134" s="395"/>
      <c r="I134" s="395"/>
      <c r="J134" s="454"/>
      <c r="K134" s="454"/>
      <c r="L134" s="454"/>
      <c r="M134" s="454"/>
      <c r="N134" s="397"/>
      <c r="O134" s="397"/>
      <c r="P134" s="397"/>
      <c r="Q134" s="397"/>
      <c r="R134" s="397"/>
      <c r="S134" s="397"/>
      <c r="T134" s="397"/>
      <c r="U134" s="397"/>
      <c r="V134" s="397"/>
      <c r="W134" s="397"/>
      <c r="X134" s="397"/>
      <c r="Y134" s="397"/>
      <c r="Z134" s="397"/>
      <c r="AA134" s="397"/>
      <c r="AB134" s="397"/>
      <c r="AC134" s="397"/>
      <c r="AD134" s="397"/>
      <c r="AE134" s="397"/>
      <c r="AF134" s="397"/>
      <c r="AG134" s="397"/>
      <c r="AH134" s="397"/>
      <c r="AI134" s="387">
        <f t="shared" si="88"/>
        <v>0</v>
      </c>
      <c r="AJ134" s="387">
        <f t="shared" si="89"/>
        <v>0</v>
      </c>
      <c r="AK134" s="387">
        <f t="shared" si="90"/>
        <v>0</v>
      </c>
      <c r="AL134" s="387">
        <f t="shared" si="99"/>
        <v>0</v>
      </c>
      <c r="AM134" s="388">
        <f t="shared" si="100"/>
        <v>0</v>
      </c>
    </row>
    <row r="135" spans="1:39" s="419" customFormat="1" ht="25.5" hidden="1" x14ac:dyDescent="0.2">
      <c r="A135" s="391" t="s">
        <v>560</v>
      </c>
      <c r="B135" s="416"/>
      <c r="C135" s="417"/>
      <c r="D135" s="417"/>
      <c r="E135" s="417"/>
      <c r="F135" s="418"/>
      <c r="G135" s="414"/>
      <c r="H135" s="414"/>
      <c r="I135" s="414"/>
      <c r="J135" s="454"/>
      <c r="K135" s="454"/>
      <c r="L135" s="454"/>
      <c r="M135" s="454"/>
      <c r="N135" s="397"/>
      <c r="O135" s="397"/>
      <c r="P135" s="397"/>
      <c r="Q135" s="397"/>
      <c r="R135" s="397"/>
      <c r="S135" s="397"/>
      <c r="T135" s="397"/>
      <c r="U135" s="397"/>
      <c r="V135" s="397"/>
      <c r="W135" s="397"/>
      <c r="X135" s="397"/>
      <c r="Y135" s="397"/>
      <c r="Z135" s="397"/>
      <c r="AA135" s="397"/>
      <c r="AB135" s="397"/>
      <c r="AC135" s="397"/>
      <c r="AD135" s="397"/>
      <c r="AE135" s="397"/>
      <c r="AF135" s="397"/>
      <c r="AG135" s="397"/>
      <c r="AH135" s="397"/>
      <c r="AI135" s="387">
        <f t="shared" si="88"/>
        <v>0</v>
      </c>
      <c r="AJ135" s="387">
        <f t="shared" si="89"/>
        <v>0</v>
      </c>
      <c r="AK135" s="387">
        <f t="shared" si="90"/>
        <v>0</v>
      </c>
      <c r="AL135" s="387">
        <f t="shared" si="99"/>
        <v>0</v>
      </c>
      <c r="AM135" s="388">
        <f t="shared" si="100"/>
        <v>0</v>
      </c>
    </row>
    <row r="136" spans="1:39" s="419" customFormat="1" ht="25.5" hidden="1" x14ac:dyDescent="0.2">
      <c r="A136" s="391" t="s">
        <v>561</v>
      </c>
      <c r="B136" s="416"/>
      <c r="C136" s="417"/>
      <c r="D136" s="417"/>
      <c r="E136" s="417"/>
      <c r="F136" s="418"/>
      <c r="G136" s="414"/>
      <c r="H136" s="414"/>
      <c r="I136" s="414"/>
      <c r="J136" s="454"/>
      <c r="K136" s="454"/>
      <c r="L136" s="454"/>
      <c r="M136" s="454"/>
      <c r="N136" s="397"/>
      <c r="O136" s="397"/>
      <c r="P136" s="397"/>
      <c r="Q136" s="397"/>
      <c r="R136" s="397"/>
      <c r="S136" s="397"/>
      <c r="T136" s="397"/>
      <c r="U136" s="397"/>
      <c r="V136" s="397"/>
      <c r="W136" s="397"/>
      <c r="X136" s="397"/>
      <c r="Y136" s="397"/>
      <c r="Z136" s="397"/>
      <c r="AA136" s="397"/>
      <c r="AB136" s="397"/>
      <c r="AC136" s="397"/>
      <c r="AD136" s="397"/>
      <c r="AE136" s="397"/>
      <c r="AF136" s="397"/>
      <c r="AG136" s="397"/>
      <c r="AH136" s="397"/>
      <c r="AI136" s="387">
        <f t="shared" si="88"/>
        <v>0</v>
      </c>
      <c r="AJ136" s="387">
        <f t="shared" si="89"/>
        <v>0</v>
      </c>
      <c r="AK136" s="387">
        <f t="shared" si="90"/>
        <v>0</v>
      </c>
      <c r="AL136" s="387">
        <f t="shared" si="99"/>
        <v>0</v>
      </c>
      <c r="AM136" s="388">
        <f t="shared" si="100"/>
        <v>0</v>
      </c>
    </row>
    <row r="137" spans="1:39" s="419" customFormat="1" ht="28.5" hidden="1" customHeight="1" x14ac:dyDescent="0.2">
      <c r="A137" s="391" t="s">
        <v>562</v>
      </c>
      <c r="B137" s="416"/>
      <c r="C137" s="417"/>
      <c r="D137" s="417"/>
      <c r="E137" s="417"/>
      <c r="F137" s="418"/>
      <c r="G137" s="414"/>
      <c r="H137" s="414"/>
      <c r="I137" s="414"/>
      <c r="J137" s="454"/>
      <c r="K137" s="454"/>
      <c r="L137" s="454"/>
      <c r="M137" s="454"/>
      <c r="N137" s="397"/>
      <c r="O137" s="397"/>
      <c r="P137" s="397"/>
      <c r="Q137" s="397"/>
      <c r="R137" s="397"/>
      <c r="S137" s="397"/>
      <c r="T137" s="397"/>
      <c r="U137" s="397"/>
      <c r="V137" s="397"/>
      <c r="W137" s="397"/>
      <c r="X137" s="397"/>
      <c r="Y137" s="397"/>
      <c r="Z137" s="397"/>
      <c r="AA137" s="397"/>
      <c r="AB137" s="397"/>
      <c r="AC137" s="397"/>
      <c r="AD137" s="397"/>
      <c r="AE137" s="397"/>
      <c r="AF137" s="397"/>
      <c r="AG137" s="397"/>
      <c r="AH137" s="397"/>
      <c r="AI137" s="387">
        <f t="shared" si="88"/>
        <v>0</v>
      </c>
      <c r="AJ137" s="387">
        <f t="shared" si="89"/>
        <v>0</v>
      </c>
      <c r="AK137" s="387">
        <f t="shared" si="90"/>
        <v>0</v>
      </c>
      <c r="AL137" s="387">
        <f t="shared" si="99"/>
        <v>0</v>
      </c>
      <c r="AM137" s="388">
        <f t="shared" si="100"/>
        <v>0</v>
      </c>
    </row>
    <row r="138" spans="1:39" s="419" customFormat="1" ht="25.5" hidden="1" x14ac:dyDescent="0.2">
      <c r="A138" s="391" t="s">
        <v>563</v>
      </c>
      <c r="B138" s="416"/>
      <c r="C138" s="417"/>
      <c r="D138" s="417"/>
      <c r="E138" s="417"/>
      <c r="F138" s="418"/>
      <c r="G138" s="414"/>
      <c r="H138" s="414"/>
      <c r="I138" s="414"/>
      <c r="J138" s="454"/>
      <c r="K138" s="454"/>
      <c r="L138" s="454"/>
      <c r="M138" s="454"/>
      <c r="N138" s="397"/>
      <c r="O138" s="397"/>
      <c r="P138" s="397"/>
      <c r="Q138" s="397"/>
      <c r="R138" s="397"/>
      <c r="S138" s="397"/>
      <c r="T138" s="397"/>
      <c r="U138" s="397"/>
      <c r="V138" s="397"/>
      <c r="W138" s="397"/>
      <c r="X138" s="397"/>
      <c r="Y138" s="397"/>
      <c r="Z138" s="397"/>
      <c r="AA138" s="397"/>
      <c r="AB138" s="397"/>
      <c r="AC138" s="397"/>
      <c r="AD138" s="397"/>
      <c r="AE138" s="397"/>
      <c r="AF138" s="397"/>
      <c r="AG138" s="397"/>
      <c r="AH138" s="397"/>
      <c r="AI138" s="387">
        <f t="shared" si="88"/>
        <v>0</v>
      </c>
      <c r="AJ138" s="387">
        <f t="shared" si="89"/>
        <v>0</v>
      </c>
      <c r="AK138" s="387">
        <f t="shared" si="90"/>
        <v>0</v>
      </c>
      <c r="AL138" s="387">
        <f t="shared" si="99"/>
        <v>0</v>
      </c>
      <c r="AM138" s="388">
        <f t="shared" si="100"/>
        <v>0</v>
      </c>
    </row>
    <row r="139" spans="1:39" s="419" customFormat="1" ht="25.5" hidden="1" x14ac:dyDescent="0.2">
      <c r="A139" s="391" t="s">
        <v>564</v>
      </c>
      <c r="B139" s="416"/>
      <c r="C139" s="417"/>
      <c r="D139" s="417"/>
      <c r="E139" s="417"/>
      <c r="F139" s="418"/>
      <c r="G139" s="414"/>
      <c r="H139" s="414"/>
      <c r="I139" s="414"/>
      <c r="J139" s="454"/>
      <c r="K139" s="454"/>
      <c r="L139" s="454"/>
      <c r="M139" s="454"/>
      <c r="N139" s="397"/>
      <c r="O139" s="397"/>
      <c r="P139" s="397"/>
      <c r="Q139" s="397"/>
      <c r="R139" s="397"/>
      <c r="S139" s="397"/>
      <c r="T139" s="397"/>
      <c r="U139" s="397"/>
      <c r="V139" s="397"/>
      <c r="W139" s="397"/>
      <c r="X139" s="397"/>
      <c r="Y139" s="397"/>
      <c r="Z139" s="397"/>
      <c r="AA139" s="397"/>
      <c r="AB139" s="397"/>
      <c r="AC139" s="397"/>
      <c r="AD139" s="397"/>
      <c r="AE139" s="397"/>
      <c r="AF139" s="397"/>
      <c r="AG139" s="397"/>
      <c r="AH139" s="397"/>
      <c r="AI139" s="387">
        <f t="shared" si="88"/>
        <v>0</v>
      </c>
      <c r="AJ139" s="387">
        <f t="shared" si="89"/>
        <v>0</v>
      </c>
      <c r="AK139" s="387">
        <f t="shared" si="90"/>
        <v>0</v>
      </c>
      <c r="AL139" s="387">
        <f t="shared" si="99"/>
        <v>0</v>
      </c>
      <c r="AM139" s="388">
        <f t="shared" si="100"/>
        <v>0</v>
      </c>
    </row>
    <row r="140" spans="1:39" s="419" customFormat="1" ht="25.5" hidden="1" x14ac:dyDescent="0.2">
      <c r="A140" s="391" t="s">
        <v>565</v>
      </c>
      <c r="B140" s="416"/>
      <c r="C140" s="417"/>
      <c r="D140" s="417"/>
      <c r="E140" s="417"/>
      <c r="F140" s="418"/>
      <c r="G140" s="414"/>
      <c r="H140" s="414"/>
      <c r="I140" s="414"/>
      <c r="J140" s="454"/>
      <c r="K140" s="454"/>
      <c r="L140" s="454"/>
      <c r="M140" s="454"/>
      <c r="N140" s="397"/>
      <c r="O140" s="397"/>
      <c r="P140" s="397"/>
      <c r="Q140" s="397"/>
      <c r="R140" s="397"/>
      <c r="S140" s="397"/>
      <c r="T140" s="397"/>
      <c r="U140" s="397"/>
      <c r="V140" s="397"/>
      <c r="W140" s="397"/>
      <c r="X140" s="397"/>
      <c r="Y140" s="397"/>
      <c r="Z140" s="397"/>
      <c r="AA140" s="397"/>
      <c r="AB140" s="397"/>
      <c r="AC140" s="397"/>
      <c r="AD140" s="397"/>
      <c r="AE140" s="397"/>
      <c r="AF140" s="397"/>
      <c r="AG140" s="397"/>
      <c r="AH140" s="397"/>
      <c r="AI140" s="387">
        <f t="shared" si="88"/>
        <v>0</v>
      </c>
      <c r="AJ140" s="387">
        <f t="shared" si="89"/>
        <v>0</v>
      </c>
      <c r="AK140" s="387">
        <f t="shared" si="90"/>
        <v>0</v>
      </c>
      <c r="AL140" s="387">
        <f t="shared" si="99"/>
        <v>0</v>
      </c>
      <c r="AM140" s="388">
        <f t="shared" si="100"/>
        <v>0</v>
      </c>
    </row>
    <row r="141" spans="1:39" s="419" customFormat="1" ht="25.5" hidden="1" x14ac:dyDescent="0.2">
      <c r="A141" s="391" t="s">
        <v>566</v>
      </c>
      <c r="B141" s="416"/>
      <c r="C141" s="417"/>
      <c r="D141" s="417"/>
      <c r="E141" s="417"/>
      <c r="F141" s="418"/>
      <c r="G141" s="414"/>
      <c r="H141" s="414"/>
      <c r="I141" s="414"/>
      <c r="J141" s="446"/>
      <c r="K141" s="446"/>
      <c r="L141" s="446"/>
      <c r="M141" s="446"/>
      <c r="N141" s="446"/>
      <c r="O141" s="446"/>
      <c r="P141" s="446"/>
      <c r="Q141" s="446"/>
      <c r="R141" s="397"/>
      <c r="S141" s="397"/>
      <c r="T141" s="397"/>
      <c r="U141" s="397"/>
      <c r="V141" s="397"/>
      <c r="W141" s="397"/>
      <c r="X141" s="397"/>
      <c r="Y141" s="397"/>
      <c r="Z141" s="397"/>
      <c r="AA141" s="397"/>
      <c r="AB141" s="397"/>
      <c r="AC141" s="397"/>
      <c r="AD141" s="397"/>
      <c r="AE141" s="397"/>
      <c r="AF141" s="397"/>
      <c r="AG141" s="397"/>
      <c r="AH141" s="397"/>
      <c r="AI141" s="387">
        <f t="shared" si="88"/>
        <v>0</v>
      </c>
      <c r="AJ141" s="387">
        <f t="shared" si="89"/>
        <v>0</v>
      </c>
      <c r="AK141" s="387">
        <f t="shared" si="90"/>
        <v>0</v>
      </c>
      <c r="AL141" s="387">
        <f t="shared" si="99"/>
        <v>0</v>
      </c>
      <c r="AM141" s="388">
        <f t="shared" si="100"/>
        <v>0</v>
      </c>
    </row>
    <row r="142" spans="1:39" s="468" customFormat="1" ht="51" hidden="1" x14ac:dyDescent="0.2">
      <c r="A142" s="425" t="s">
        <v>567</v>
      </c>
      <c r="B142" s="466"/>
      <c r="C142" s="467"/>
      <c r="D142" s="467"/>
      <c r="E142" s="467"/>
      <c r="F142" s="462">
        <v>0</v>
      </c>
      <c r="G142" s="463"/>
      <c r="H142" s="463"/>
      <c r="I142" s="463"/>
      <c r="J142" s="464">
        <v>0</v>
      </c>
      <c r="K142" s="464"/>
      <c r="L142" s="464"/>
      <c r="M142" s="464"/>
      <c r="N142" s="464">
        <v>0</v>
      </c>
      <c r="O142" s="464"/>
      <c r="P142" s="464"/>
      <c r="Q142" s="464"/>
      <c r="R142" s="464">
        <v>0</v>
      </c>
      <c r="S142" s="464"/>
      <c r="T142" s="464"/>
      <c r="U142" s="464"/>
      <c r="V142" s="464">
        <v>0</v>
      </c>
      <c r="W142" s="464"/>
      <c r="X142" s="464"/>
      <c r="Y142" s="464"/>
      <c r="Z142" s="464">
        <v>0</v>
      </c>
      <c r="AA142" s="464"/>
      <c r="AB142" s="464"/>
      <c r="AC142" s="464"/>
      <c r="AD142" s="464">
        <v>0</v>
      </c>
      <c r="AE142" s="464"/>
      <c r="AF142" s="464"/>
      <c r="AG142" s="464"/>
      <c r="AH142" s="464">
        <v>0</v>
      </c>
      <c r="AI142" s="387">
        <f t="shared" si="88"/>
        <v>0</v>
      </c>
      <c r="AJ142" s="387">
        <f t="shared" si="89"/>
        <v>0</v>
      </c>
      <c r="AK142" s="387">
        <f t="shared" si="90"/>
        <v>0</v>
      </c>
      <c r="AL142" s="387">
        <f t="shared" si="99"/>
        <v>0</v>
      </c>
      <c r="AM142" s="388">
        <f t="shared" si="100"/>
        <v>0</v>
      </c>
    </row>
    <row r="143" spans="1:39" s="419" customFormat="1" ht="25.5" hidden="1" x14ac:dyDescent="0.2">
      <c r="A143" s="391" t="s">
        <v>568</v>
      </c>
      <c r="B143" s="416"/>
      <c r="C143" s="417"/>
      <c r="D143" s="417"/>
      <c r="E143" s="417"/>
      <c r="F143" s="418"/>
      <c r="G143" s="414"/>
      <c r="H143" s="414"/>
      <c r="I143" s="414"/>
      <c r="J143" s="421"/>
      <c r="K143" s="421"/>
      <c r="L143" s="421"/>
      <c r="M143" s="421"/>
      <c r="N143" s="412"/>
      <c r="O143" s="412"/>
      <c r="P143" s="412"/>
      <c r="Q143" s="412"/>
      <c r="R143" s="412"/>
      <c r="S143" s="412"/>
      <c r="T143" s="412"/>
      <c r="U143" s="412"/>
      <c r="V143" s="412"/>
      <c r="W143" s="412"/>
      <c r="X143" s="412"/>
      <c r="Y143" s="412"/>
      <c r="Z143" s="412"/>
      <c r="AA143" s="412"/>
      <c r="AB143" s="412"/>
      <c r="AC143" s="412"/>
      <c r="AD143" s="412"/>
      <c r="AE143" s="412"/>
      <c r="AF143" s="412"/>
      <c r="AG143" s="412"/>
      <c r="AH143" s="412"/>
      <c r="AI143" s="387">
        <f t="shared" si="88"/>
        <v>0</v>
      </c>
      <c r="AJ143" s="387">
        <f t="shared" si="89"/>
        <v>0</v>
      </c>
      <c r="AK143" s="387">
        <f t="shared" si="90"/>
        <v>0</v>
      </c>
      <c r="AL143" s="387">
        <f t="shared" si="99"/>
        <v>0</v>
      </c>
      <c r="AM143" s="388">
        <f t="shared" si="100"/>
        <v>0</v>
      </c>
    </row>
    <row r="144" spans="1:39" s="419" customFormat="1" ht="25.5" hidden="1" x14ac:dyDescent="0.2">
      <c r="A144" s="391" t="s">
        <v>569</v>
      </c>
      <c r="B144" s="416"/>
      <c r="C144" s="417"/>
      <c r="D144" s="417"/>
      <c r="E144" s="417"/>
      <c r="F144" s="418"/>
      <c r="G144" s="414"/>
      <c r="H144" s="414"/>
      <c r="I144" s="414"/>
      <c r="J144" s="421"/>
      <c r="K144" s="421"/>
      <c r="L144" s="421"/>
      <c r="M144" s="421"/>
      <c r="N144" s="412"/>
      <c r="O144" s="412"/>
      <c r="P144" s="412"/>
      <c r="Q144" s="412"/>
      <c r="R144" s="412"/>
      <c r="S144" s="412"/>
      <c r="T144" s="412"/>
      <c r="U144" s="412"/>
      <c r="V144" s="412"/>
      <c r="W144" s="412"/>
      <c r="X144" s="412"/>
      <c r="Y144" s="412"/>
      <c r="Z144" s="412"/>
      <c r="AA144" s="412"/>
      <c r="AB144" s="412"/>
      <c r="AC144" s="412"/>
      <c r="AD144" s="412"/>
      <c r="AE144" s="412"/>
      <c r="AF144" s="412"/>
      <c r="AG144" s="412"/>
      <c r="AH144" s="412"/>
      <c r="AI144" s="387">
        <f t="shared" si="88"/>
        <v>0</v>
      </c>
      <c r="AJ144" s="387">
        <f t="shared" si="89"/>
        <v>0</v>
      </c>
      <c r="AK144" s="387">
        <f t="shared" si="90"/>
        <v>0</v>
      </c>
      <c r="AL144" s="387">
        <f t="shared" si="99"/>
        <v>0</v>
      </c>
      <c r="AM144" s="388">
        <f t="shared" si="100"/>
        <v>0</v>
      </c>
    </row>
    <row r="145" spans="1:39" s="419" customFormat="1" ht="38.25" hidden="1" x14ac:dyDescent="0.2">
      <c r="A145" s="391" t="s">
        <v>570</v>
      </c>
      <c r="B145" s="416"/>
      <c r="C145" s="417"/>
      <c r="D145" s="417"/>
      <c r="E145" s="417"/>
      <c r="F145" s="394"/>
      <c r="G145" s="395"/>
      <c r="H145" s="395"/>
      <c r="I145" s="395"/>
      <c r="J145" s="421"/>
      <c r="K145" s="421"/>
      <c r="L145" s="421"/>
      <c r="M145" s="421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  <c r="X145" s="412"/>
      <c r="Y145" s="412"/>
      <c r="Z145" s="412"/>
      <c r="AA145" s="412"/>
      <c r="AB145" s="412"/>
      <c r="AC145" s="412"/>
      <c r="AD145" s="412"/>
      <c r="AE145" s="412"/>
      <c r="AF145" s="412"/>
      <c r="AG145" s="412"/>
      <c r="AH145" s="412"/>
      <c r="AI145" s="387">
        <f t="shared" si="88"/>
        <v>0</v>
      </c>
      <c r="AJ145" s="387">
        <f t="shared" si="89"/>
        <v>0</v>
      </c>
      <c r="AK145" s="387">
        <f t="shared" si="90"/>
        <v>0</v>
      </c>
      <c r="AL145" s="387">
        <f t="shared" si="99"/>
        <v>0</v>
      </c>
      <c r="AM145" s="388">
        <f t="shared" si="100"/>
        <v>0</v>
      </c>
    </row>
    <row r="146" spans="1:39" s="419" customFormat="1" ht="25.5" hidden="1" x14ac:dyDescent="0.2">
      <c r="A146" s="391" t="s">
        <v>571</v>
      </c>
      <c r="B146" s="416"/>
      <c r="C146" s="417"/>
      <c r="D146" s="417"/>
      <c r="E146" s="417"/>
      <c r="F146" s="418"/>
      <c r="G146" s="414"/>
      <c r="H146" s="414"/>
      <c r="I146" s="414"/>
      <c r="J146" s="421"/>
      <c r="K146" s="421"/>
      <c r="L146" s="421"/>
      <c r="M146" s="421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  <c r="X146" s="412"/>
      <c r="Y146" s="412"/>
      <c r="Z146" s="412"/>
      <c r="AA146" s="412"/>
      <c r="AB146" s="412"/>
      <c r="AC146" s="412"/>
      <c r="AD146" s="412"/>
      <c r="AE146" s="412"/>
      <c r="AF146" s="412"/>
      <c r="AG146" s="412"/>
      <c r="AH146" s="412"/>
      <c r="AI146" s="387">
        <f t="shared" si="88"/>
        <v>0</v>
      </c>
      <c r="AJ146" s="387">
        <f t="shared" si="89"/>
        <v>0</v>
      </c>
      <c r="AK146" s="387">
        <f t="shared" si="90"/>
        <v>0</v>
      </c>
      <c r="AL146" s="387">
        <f t="shared" si="99"/>
        <v>0</v>
      </c>
      <c r="AM146" s="388">
        <f t="shared" si="100"/>
        <v>0</v>
      </c>
    </row>
    <row r="147" spans="1:39" s="419" customFormat="1" ht="25.5" hidden="1" x14ac:dyDescent="0.2">
      <c r="A147" s="391" t="s">
        <v>572</v>
      </c>
      <c r="B147" s="416"/>
      <c r="C147" s="417"/>
      <c r="D147" s="417"/>
      <c r="E147" s="417"/>
      <c r="F147" s="418"/>
      <c r="G147" s="414"/>
      <c r="H147" s="414"/>
      <c r="I147" s="414"/>
      <c r="J147" s="421"/>
      <c r="K147" s="421"/>
      <c r="L147" s="421"/>
      <c r="M147" s="421"/>
      <c r="N147" s="412"/>
      <c r="O147" s="412"/>
      <c r="P147" s="412"/>
      <c r="Q147" s="412"/>
      <c r="R147" s="412"/>
      <c r="S147" s="412"/>
      <c r="T147" s="412"/>
      <c r="U147" s="412"/>
      <c r="V147" s="412"/>
      <c r="W147" s="412"/>
      <c r="X147" s="412"/>
      <c r="Y147" s="412"/>
      <c r="Z147" s="412"/>
      <c r="AA147" s="412"/>
      <c r="AB147" s="412"/>
      <c r="AC147" s="412"/>
      <c r="AD147" s="412"/>
      <c r="AE147" s="412"/>
      <c r="AF147" s="412"/>
      <c r="AG147" s="412"/>
      <c r="AH147" s="412"/>
      <c r="AI147" s="387">
        <f t="shared" si="88"/>
        <v>0</v>
      </c>
      <c r="AJ147" s="387">
        <f t="shared" si="89"/>
        <v>0</v>
      </c>
      <c r="AK147" s="387">
        <f t="shared" si="90"/>
        <v>0</v>
      </c>
      <c r="AL147" s="387">
        <f t="shared" si="99"/>
        <v>0</v>
      </c>
      <c r="AM147" s="388">
        <f t="shared" si="100"/>
        <v>0</v>
      </c>
    </row>
    <row r="148" spans="1:39" s="419" customFormat="1" ht="28.5" hidden="1" customHeight="1" x14ac:dyDescent="0.2">
      <c r="A148" s="391" t="s">
        <v>573</v>
      </c>
      <c r="B148" s="416"/>
      <c r="C148" s="417"/>
      <c r="D148" s="417"/>
      <c r="E148" s="417"/>
      <c r="F148" s="418"/>
      <c r="G148" s="414"/>
      <c r="H148" s="414"/>
      <c r="I148" s="414"/>
      <c r="J148" s="421"/>
      <c r="K148" s="421"/>
      <c r="L148" s="421"/>
      <c r="M148" s="421"/>
      <c r="N148" s="412"/>
      <c r="O148" s="412"/>
      <c r="P148" s="412"/>
      <c r="Q148" s="412"/>
      <c r="R148" s="412"/>
      <c r="S148" s="412"/>
      <c r="T148" s="412"/>
      <c r="U148" s="412"/>
      <c r="V148" s="412"/>
      <c r="W148" s="412"/>
      <c r="X148" s="412"/>
      <c r="Y148" s="412"/>
      <c r="Z148" s="412"/>
      <c r="AA148" s="412"/>
      <c r="AB148" s="412"/>
      <c r="AC148" s="412"/>
      <c r="AD148" s="412"/>
      <c r="AE148" s="412"/>
      <c r="AF148" s="412"/>
      <c r="AG148" s="412"/>
      <c r="AH148" s="412"/>
      <c r="AI148" s="387">
        <f t="shared" si="88"/>
        <v>0</v>
      </c>
      <c r="AJ148" s="387">
        <f t="shared" si="89"/>
        <v>0</v>
      </c>
      <c r="AK148" s="387">
        <f t="shared" si="90"/>
        <v>0</v>
      </c>
      <c r="AL148" s="387">
        <f t="shared" si="99"/>
        <v>0</v>
      </c>
      <c r="AM148" s="388">
        <f t="shared" si="100"/>
        <v>0</v>
      </c>
    </row>
    <row r="149" spans="1:39" s="419" customFormat="1" ht="25.5" hidden="1" x14ac:dyDescent="0.2">
      <c r="A149" s="391" t="s">
        <v>574</v>
      </c>
      <c r="B149" s="416"/>
      <c r="C149" s="417"/>
      <c r="D149" s="417"/>
      <c r="E149" s="417"/>
      <c r="F149" s="418"/>
      <c r="G149" s="414"/>
      <c r="H149" s="414"/>
      <c r="I149" s="414"/>
      <c r="J149" s="421"/>
      <c r="K149" s="421"/>
      <c r="L149" s="421"/>
      <c r="M149" s="421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  <c r="X149" s="412"/>
      <c r="Y149" s="412"/>
      <c r="Z149" s="412"/>
      <c r="AA149" s="412"/>
      <c r="AB149" s="412"/>
      <c r="AC149" s="412"/>
      <c r="AD149" s="412"/>
      <c r="AE149" s="412"/>
      <c r="AF149" s="412"/>
      <c r="AG149" s="412"/>
      <c r="AH149" s="412"/>
      <c r="AI149" s="387">
        <f t="shared" si="88"/>
        <v>0</v>
      </c>
      <c r="AJ149" s="387">
        <f t="shared" si="89"/>
        <v>0</v>
      </c>
      <c r="AK149" s="387">
        <f t="shared" si="90"/>
        <v>0</v>
      </c>
      <c r="AL149" s="387">
        <f t="shared" si="99"/>
        <v>0</v>
      </c>
      <c r="AM149" s="388">
        <f t="shared" si="100"/>
        <v>0</v>
      </c>
    </row>
    <row r="150" spans="1:39" s="419" customFormat="1" ht="25.5" hidden="1" x14ac:dyDescent="0.2">
      <c r="A150" s="391" t="s">
        <v>575</v>
      </c>
      <c r="B150" s="416"/>
      <c r="C150" s="417"/>
      <c r="D150" s="417"/>
      <c r="E150" s="417"/>
      <c r="F150" s="418"/>
      <c r="G150" s="414"/>
      <c r="H150" s="414"/>
      <c r="I150" s="414"/>
      <c r="J150" s="421"/>
      <c r="K150" s="421"/>
      <c r="L150" s="421"/>
      <c r="M150" s="421"/>
      <c r="N150" s="412"/>
      <c r="O150" s="412"/>
      <c r="P150" s="412"/>
      <c r="Q150" s="412"/>
      <c r="R150" s="412"/>
      <c r="S150" s="412"/>
      <c r="T150" s="412"/>
      <c r="U150" s="412"/>
      <c r="V150" s="412"/>
      <c r="W150" s="412"/>
      <c r="X150" s="412"/>
      <c r="Y150" s="412"/>
      <c r="Z150" s="412"/>
      <c r="AA150" s="412"/>
      <c r="AB150" s="412"/>
      <c r="AC150" s="412"/>
      <c r="AD150" s="412"/>
      <c r="AE150" s="412"/>
      <c r="AF150" s="412"/>
      <c r="AG150" s="412"/>
      <c r="AH150" s="412"/>
      <c r="AI150" s="387">
        <f t="shared" si="88"/>
        <v>0</v>
      </c>
      <c r="AJ150" s="387">
        <f t="shared" si="89"/>
        <v>0</v>
      </c>
      <c r="AK150" s="387">
        <f t="shared" si="90"/>
        <v>0</v>
      </c>
      <c r="AL150" s="387">
        <f t="shared" si="99"/>
        <v>0</v>
      </c>
      <c r="AM150" s="388">
        <f t="shared" si="100"/>
        <v>0</v>
      </c>
    </row>
    <row r="151" spans="1:39" s="419" customFormat="1" ht="25.5" hidden="1" x14ac:dyDescent="0.2">
      <c r="A151" s="391" t="s">
        <v>576</v>
      </c>
      <c r="B151" s="416"/>
      <c r="C151" s="417"/>
      <c r="D151" s="417"/>
      <c r="E151" s="417"/>
      <c r="F151" s="418"/>
      <c r="G151" s="414"/>
      <c r="H151" s="414"/>
      <c r="I151" s="414"/>
      <c r="J151" s="421"/>
      <c r="K151" s="421"/>
      <c r="L151" s="421"/>
      <c r="M151" s="421"/>
      <c r="N151" s="412"/>
      <c r="O151" s="412"/>
      <c r="P151" s="412"/>
      <c r="Q151" s="412"/>
      <c r="R151" s="412"/>
      <c r="S151" s="412"/>
      <c r="T151" s="412"/>
      <c r="U151" s="412"/>
      <c r="V151" s="412"/>
      <c r="W151" s="412"/>
      <c r="X151" s="412"/>
      <c r="Y151" s="412"/>
      <c r="Z151" s="412"/>
      <c r="AA151" s="412"/>
      <c r="AB151" s="412"/>
      <c r="AC151" s="412"/>
      <c r="AD151" s="412"/>
      <c r="AE151" s="412"/>
      <c r="AF151" s="412"/>
      <c r="AG151" s="412"/>
      <c r="AH151" s="412"/>
      <c r="AI151" s="387">
        <f t="shared" ref="AI151:AI214" si="101">C151+G151+K151+O151+S151+W151+AA151+AE151</f>
        <v>0</v>
      </c>
      <c r="AJ151" s="387">
        <f t="shared" ref="AJ151:AJ214" si="102">D151+H151+L151+P151+T151+X151+AB151+AF151</f>
        <v>0</v>
      </c>
      <c r="AK151" s="387">
        <f t="shared" ref="AK151:AK214" si="103">E151+I151+M151+Q151+U151+Y151+AC151+AG151</f>
        <v>0</v>
      </c>
      <c r="AL151" s="387">
        <f t="shared" si="99"/>
        <v>0</v>
      </c>
      <c r="AM151" s="388">
        <f t="shared" si="100"/>
        <v>0</v>
      </c>
    </row>
    <row r="152" spans="1:39" s="419" customFormat="1" ht="25.5" hidden="1" x14ac:dyDescent="0.2">
      <c r="A152" s="391" t="s">
        <v>577</v>
      </c>
      <c r="B152" s="416"/>
      <c r="C152" s="417"/>
      <c r="D152" s="417"/>
      <c r="E152" s="417"/>
      <c r="F152" s="418"/>
      <c r="G152" s="414"/>
      <c r="H152" s="414"/>
      <c r="I152" s="414"/>
      <c r="J152" s="446"/>
      <c r="K152" s="446"/>
      <c r="L152" s="446"/>
      <c r="M152" s="446"/>
      <c r="N152" s="446"/>
      <c r="O152" s="446"/>
      <c r="P152" s="446"/>
      <c r="Q152" s="446"/>
      <c r="R152" s="412"/>
      <c r="S152" s="412"/>
      <c r="T152" s="412"/>
      <c r="U152" s="412"/>
      <c r="V152" s="412"/>
      <c r="W152" s="412"/>
      <c r="X152" s="412"/>
      <c r="Y152" s="412"/>
      <c r="Z152" s="412"/>
      <c r="AA152" s="412"/>
      <c r="AB152" s="412"/>
      <c r="AC152" s="412"/>
      <c r="AD152" s="412"/>
      <c r="AE152" s="412"/>
      <c r="AF152" s="412"/>
      <c r="AG152" s="412"/>
      <c r="AH152" s="412"/>
      <c r="AI152" s="387">
        <f t="shared" si="101"/>
        <v>0</v>
      </c>
      <c r="AJ152" s="387">
        <f t="shared" si="102"/>
        <v>0</v>
      </c>
      <c r="AK152" s="387">
        <f t="shared" si="103"/>
        <v>0</v>
      </c>
      <c r="AL152" s="387">
        <f t="shared" si="99"/>
        <v>0</v>
      </c>
      <c r="AM152" s="388">
        <f t="shared" si="100"/>
        <v>0</v>
      </c>
    </row>
    <row r="153" spans="1:39" s="427" customFormat="1" ht="25.5" x14ac:dyDescent="0.25">
      <c r="A153" s="425" t="s">
        <v>1141</v>
      </c>
      <c r="C153" s="427">
        <f>+C154+C160+C161+C162</f>
        <v>97725</v>
      </c>
      <c r="D153" s="427">
        <f>+D154+D160+D161+D162</f>
        <v>97725</v>
      </c>
      <c r="E153" s="427">
        <v>118379.86599999999</v>
      </c>
      <c r="F153" s="428">
        <v>97725</v>
      </c>
      <c r="G153" s="463"/>
      <c r="H153" s="463"/>
      <c r="I153" s="463"/>
      <c r="J153" s="464">
        <v>0</v>
      </c>
      <c r="K153" s="464"/>
      <c r="L153" s="464"/>
      <c r="M153" s="464"/>
      <c r="N153" s="464">
        <v>0</v>
      </c>
      <c r="O153" s="464"/>
      <c r="P153" s="464"/>
      <c r="Q153" s="464"/>
      <c r="R153" s="464">
        <v>0</v>
      </c>
      <c r="S153" s="464"/>
      <c r="T153" s="464"/>
      <c r="U153" s="464"/>
      <c r="V153" s="464">
        <v>0</v>
      </c>
      <c r="W153" s="464"/>
      <c r="X153" s="464"/>
      <c r="Y153" s="464"/>
      <c r="Z153" s="464">
        <v>0</v>
      </c>
      <c r="AA153" s="464"/>
      <c r="AB153" s="464"/>
      <c r="AC153" s="464"/>
      <c r="AD153" s="464">
        <v>0</v>
      </c>
      <c r="AE153" s="464"/>
      <c r="AF153" s="464"/>
      <c r="AG153" s="464"/>
      <c r="AH153" s="464">
        <v>0</v>
      </c>
      <c r="AI153" s="387">
        <f t="shared" si="101"/>
        <v>97725</v>
      </c>
      <c r="AJ153" s="387">
        <f t="shared" si="102"/>
        <v>97725</v>
      </c>
      <c r="AK153" s="387">
        <f t="shared" si="103"/>
        <v>118379.86599999999</v>
      </c>
      <c r="AL153" s="387">
        <f t="shared" si="99"/>
        <v>97725</v>
      </c>
      <c r="AM153" s="388">
        <f t="shared" si="100"/>
        <v>0</v>
      </c>
    </row>
    <row r="154" spans="1:39" s="465" customFormat="1" ht="25.5" x14ac:dyDescent="0.2">
      <c r="A154" s="391" t="s">
        <v>578</v>
      </c>
      <c r="B154" s="416"/>
      <c r="C154" s="418">
        <v>50000</v>
      </c>
      <c r="D154" s="418">
        <v>50000</v>
      </c>
      <c r="E154" s="530">
        <v>107295.89</v>
      </c>
      <c r="F154" s="418">
        <v>50000</v>
      </c>
      <c r="G154" s="414"/>
      <c r="H154" s="414"/>
      <c r="I154" s="414"/>
      <c r="J154" s="421"/>
      <c r="K154" s="421"/>
      <c r="L154" s="421"/>
      <c r="M154" s="421"/>
      <c r="N154" s="412"/>
      <c r="O154" s="412"/>
      <c r="P154" s="412"/>
      <c r="Q154" s="412"/>
      <c r="R154" s="412"/>
      <c r="S154" s="412"/>
      <c r="T154" s="412"/>
      <c r="U154" s="412"/>
      <c r="V154" s="412"/>
      <c r="W154" s="412"/>
      <c r="X154" s="412"/>
      <c r="Y154" s="412"/>
      <c r="Z154" s="412"/>
      <c r="AA154" s="412"/>
      <c r="AB154" s="412"/>
      <c r="AC154" s="412"/>
      <c r="AD154" s="412"/>
      <c r="AE154" s="412"/>
      <c r="AF154" s="412"/>
      <c r="AG154" s="412"/>
      <c r="AH154" s="412"/>
      <c r="AI154" s="387">
        <f t="shared" si="101"/>
        <v>50000</v>
      </c>
      <c r="AJ154" s="387">
        <f t="shared" si="102"/>
        <v>50000</v>
      </c>
      <c r="AK154" s="387">
        <f t="shared" si="103"/>
        <v>107295.89</v>
      </c>
      <c r="AL154" s="387">
        <f t="shared" si="99"/>
        <v>50000</v>
      </c>
      <c r="AM154" s="388">
        <f t="shared" si="100"/>
        <v>0</v>
      </c>
    </row>
    <row r="155" spans="1:39" s="419" customFormat="1" ht="25.5" hidden="1" x14ac:dyDescent="0.2">
      <c r="A155" s="391" t="s">
        <v>579</v>
      </c>
      <c r="B155" s="416"/>
      <c r="C155" s="417"/>
      <c r="D155" s="417"/>
      <c r="E155" s="417"/>
      <c r="F155" s="418"/>
      <c r="G155" s="414"/>
      <c r="H155" s="414"/>
      <c r="I155" s="414"/>
      <c r="J155" s="421"/>
      <c r="K155" s="421"/>
      <c r="L155" s="421"/>
      <c r="M155" s="421"/>
      <c r="N155" s="412"/>
      <c r="O155" s="412"/>
      <c r="P155" s="412"/>
      <c r="Q155" s="412"/>
      <c r="R155" s="412"/>
      <c r="S155" s="412"/>
      <c r="T155" s="412"/>
      <c r="U155" s="412"/>
      <c r="V155" s="412"/>
      <c r="W155" s="412"/>
      <c r="X155" s="412"/>
      <c r="Y155" s="412"/>
      <c r="Z155" s="412"/>
      <c r="AA155" s="412"/>
      <c r="AB155" s="412"/>
      <c r="AC155" s="412"/>
      <c r="AD155" s="412"/>
      <c r="AE155" s="412"/>
      <c r="AF155" s="412"/>
      <c r="AG155" s="412"/>
      <c r="AH155" s="412"/>
      <c r="AI155" s="387">
        <f t="shared" si="101"/>
        <v>0</v>
      </c>
      <c r="AJ155" s="387">
        <f t="shared" si="102"/>
        <v>0</v>
      </c>
      <c r="AK155" s="387">
        <f t="shared" si="103"/>
        <v>0</v>
      </c>
      <c r="AL155" s="387">
        <f t="shared" si="99"/>
        <v>0</v>
      </c>
      <c r="AM155" s="388">
        <f t="shared" si="100"/>
        <v>0</v>
      </c>
    </row>
    <row r="156" spans="1:39" s="419" customFormat="1" ht="38.25" hidden="1" x14ac:dyDescent="0.2">
      <c r="A156" s="391" t="s">
        <v>580</v>
      </c>
      <c r="B156" s="416"/>
      <c r="C156" s="417"/>
      <c r="D156" s="417"/>
      <c r="E156" s="417"/>
      <c r="F156" s="394"/>
      <c r="G156" s="395"/>
      <c r="H156" s="395"/>
      <c r="I156" s="395"/>
      <c r="J156" s="421"/>
      <c r="K156" s="421"/>
      <c r="L156" s="421"/>
      <c r="M156" s="421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  <c r="X156" s="412"/>
      <c r="Y156" s="412"/>
      <c r="Z156" s="412"/>
      <c r="AA156" s="412"/>
      <c r="AB156" s="412"/>
      <c r="AC156" s="412"/>
      <c r="AD156" s="412"/>
      <c r="AE156" s="412"/>
      <c r="AF156" s="412"/>
      <c r="AG156" s="412"/>
      <c r="AH156" s="412"/>
      <c r="AI156" s="387">
        <f t="shared" si="101"/>
        <v>0</v>
      </c>
      <c r="AJ156" s="387">
        <f t="shared" si="102"/>
        <v>0</v>
      </c>
      <c r="AK156" s="387">
        <f t="shared" si="103"/>
        <v>0</v>
      </c>
      <c r="AL156" s="387">
        <f t="shared" si="99"/>
        <v>0</v>
      </c>
      <c r="AM156" s="388">
        <f t="shared" si="100"/>
        <v>0</v>
      </c>
    </row>
    <row r="157" spans="1:39" s="419" customFormat="1" ht="25.5" hidden="1" x14ac:dyDescent="0.2">
      <c r="A157" s="391" t="s">
        <v>581</v>
      </c>
      <c r="B157" s="416"/>
      <c r="C157" s="417"/>
      <c r="D157" s="417"/>
      <c r="E157" s="417"/>
      <c r="F157" s="394"/>
      <c r="G157" s="395"/>
      <c r="H157" s="395"/>
      <c r="I157" s="395"/>
      <c r="J157" s="421"/>
      <c r="K157" s="421"/>
      <c r="L157" s="421"/>
      <c r="M157" s="421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  <c r="X157" s="412"/>
      <c r="Y157" s="412"/>
      <c r="Z157" s="412"/>
      <c r="AA157" s="412"/>
      <c r="AB157" s="412"/>
      <c r="AC157" s="412"/>
      <c r="AD157" s="412"/>
      <c r="AE157" s="412"/>
      <c r="AF157" s="412"/>
      <c r="AG157" s="412"/>
      <c r="AH157" s="412"/>
      <c r="AI157" s="387">
        <f t="shared" si="101"/>
        <v>0</v>
      </c>
      <c r="AJ157" s="387">
        <f t="shared" si="102"/>
        <v>0</v>
      </c>
      <c r="AK157" s="387">
        <f t="shared" si="103"/>
        <v>0</v>
      </c>
      <c r="AL157" s="387">
        <f t="shared" si="99"/>
        <v>0</v>
      </c>
      <c r="AM157" s="388">
        <f t="shared" si="100"/>
        <v>0</v>
      </c>
    </row>
    <row r="158" spans="1:39" s="419" customFormat="1" ht="25.5" hidden="1" x14ac:dyDescent="0.2">
      <c r="A158" s="391" t="s">
        <v>582</v>
      </c>
      <c r="B158" s="416"/>
      <c r="C158" s="417"/>
      <c r="D158" s="417"/>
      <c r="E158" s="417"/>
      <c r="F158" s="418"/>
      <c r="G158" s="414"/>
      <c r="H158" s="414"/>
      <c r="I158" s="414"/>
      <c r="J158" s="421"/>
      <c r="K158" s="421"/>
      <c r="L158" s="421"/>
      <c r="M158" s="421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2"/>
      <c r="AC158" s="412"/>
      <c r="AD158" s="412"/>
      <c r="AE158" s="412"/>
      <c r="AF158" s="412"/>
      <c r="AG158" s="412"/>
      <c r="AH158" s="412"/>
      <c r="AI158" s="387">
        <f t="shared" si="101"/>
        <v>0</v>
      </c>
      <c r="AJ158" s="387">
        <f t="shared" si="102"/>
        <v>0</v>
      </c>
      <c r="AK158" s="387">
        <f t="shared" si="103"/>
        <v>0</v>
      </c>
      <c r="AL158" s="387">
        <f t="shared" si="99"/>
        <v>0</v>
      </c>
      <c r="AM158" s="388">
        <f t="shared" si="100"/>
        <v>0</v>
      </c>
    </row>
    <row r="159" spans="1:39" s="419" customFormat="1" ht="29.25" hidden="1" customHeight="1" x14ac:dyDescent="0.2">
      <c r="A159" s="391" t="s">
        <v>583</v>
      </c>
      <c r="B159" s="416"/>
      <c r="C159" s="417"/>
      <c r="D159" s="417"/>
      <c r="E159" s="417"/>
      <c r="F159" s="418"/>
      <c r="G159" s="414"/>
      <c r="H159" s="414"/>
      <c r="I159" s="414"/>
      <c r="J159" s="446"/>
      <c r="K159" s="446"/>
      <c r="L159" s="446"/>
      <c r="M159" s="446"/>
      <c r="N159" s="412"/>
      <c r="O159" s="412"/>
      <c r="P159" s="412"/>
      <c r="Q159" s="412"/>
      <c r="R159" s="412"/>
      <c r="S159" s="412"/>
      <c r="T159" s="412"/>
      <c r="U159" s="412"/>
      <c r="V159" s="412"/>
      <c r="W159" s="412"/>
      <c r="X159" s="412"/>
      <c r="Y159" s="412"/>
      <c r="Z159" s="412"/>
      <c r="AA159" s="412"/>
      <c r="AB159" s="412"/>
      <c r="AC159" s="412"/>
      <c r="AD159" s="412"/>
      <c r="AE159" s="412"/>
      <c r="AF159" s="412"/>
      <c r="AG159" s="412"/>
      <c r="AH159" s="412"/>
      <c r="AI159" s="387">
        <f t="shared" si="101"/>
        <v>0</v>
      </c>
      <c r="AJ159" s="387">
        <f t="shared" si="102"/>
        <v>0</v>
      </c>
      <c r="AK159" s="387">
        <f t="shared" si="103"/>
        <v>0</v>
      </c>
      <c r="AL159" s="387">
        <f t="shared" si="99"/>
        <v>0</v>
      </c>
      <c r="AM159" s="388">
        <f t="shared" si="100"/>
        <v>0</v>
      </c>
    </row>
    <row r="160" spans="1:39" s="413" customFormat="1" ht="25.5" x14ac:dyDescent="0.2">
      <c r="A160" s="391" t="s">
        <v>584</v>
      </c>
      <c r="B160" s="411"/>
      <c r="C160" s="393">
        <v>26725</v>
      </c>
      <c r="D160" s="393">
        <v>26725</v>
      </c>
      <c r="E160" s="393">
        <v>7037.9759999999997</v>
      </c>
      <c r="F160" s="418">
        <v>26725</v>
      </c>
      <c r="G160" s="414"/>
      <c r="H160" s="414"/>
      <c r="I160" s="414"/>
      <c r="J160" s="421">
        <v>0</v>
      </c>
      <c r="K160" s="421"/>
      <c r="L160" s="421"/>
      <c r="M160" s="421"/>
      <c r="N160" s="412"/>
      <c r="O160" s="412"/>
      <c r="P160" s="412"/>
      <c r="Q160" s="412"/>
      <c r="R160" s="412"/>
      <c r="S160" s="412"/>
      <c r="T160" s="412"/>
      <c r="U160" s="412"/>
      <c r="V160" s="412"/>
      <c r="W160" s="412"/>
      <c r="X160" s="412"/>
      <c r="Y160" s="412"/>
      <c r="Z160" s="412"/>
      <c r="AA160" s="412"/>
      <c r="AB160" s="412"/>
      <c r="AC160" s="412"/>
      <c r="AD160" s="412"/>
      <c r="AE160" s="412"/>
      <c r="AF160" s="412"/>
      <c r="AG160" s="412"/>
      <c r="AH160" s="412"/>
      <c r="AI160" s="387">
        <f t="shared" si="101"/>
        <v>26725</v>
      </c>
      <c r="AJ160" s="387">
        <f t="shared" si="102"/>
        <v>26725</v>
      </c>
      <c r="AK160" s="387">
        <f t="shared" si="103"/>
        <v>7037.9759999999997</v>
      </c>
      <c r="AL160" s="387">
        <f t="shared" si="99"/>
        <v>26725</v>
      </c>
      <c r="AM160" s="388">
        <f t="shared" si="100"/>
        <v>0</v>
      </c>
    </row>
    <row r="161" spans="1:39" s="413" customFormat="1" ht="25.5" x14ac:dyDescent="0.2">
      <c r="A161" s="391" t="s">
        <v>585</v>
      </c>
      <c r="B161" s="411"/>
      <c r="C161" s="393">
        <v>16000</v>
      </c>
      <c r="D161" s="393">
        <v>16000</v>
      </c>
      <c r="E161" s="393"/>
      <c r="F161" s="418">
        <v>16000</v>
      </c>
      <c r="G161" s="384"/>
      <c r="H161" s="384"/>
      <c r="I161" s="384"/>
      <c r="J161" s="421"/>
      <c r="K161" s="421"/>
      <c r="L161" s="421"/>
      <c r="M161" s="421"/>
      <c r="N161" s="412"/>
      <c r="O161" s="412"/>
      <c r="P161" s="412"/>
      <c r="Q161" s="412"/>
      <c r="R161" s="412"/>
      <c r="S161" s="412"/>
      <c r="T161" s="412"/>
      <c r="U161" s="412"/>
      <c r="V161" s="412"/>
      <c r="W161" s="412"/>
      <c r="X161" s="412"/>
      <c r="Y161" s="412"/>
      <c r="Z161" s="412"/>
      <c r="AA161" s="412"/>
      <c r="AB161" s="412"/>
      <c r="AC161" s="412"/>
      <c r="AD161" s="412"/>
      <c r="AE161" s="412"/>
      <c r="AF161" s="412"/>
      <c r="AG161" s="412"/>
      <c r="AH161" s="412"/>
      <c r="AI161" s="387">
        <f t="shared" si="101"/>
        <v>16000</v>
      </c>
      <c r="AJ161" s="387">
        <f t="shared" si="102"/>
        <v>16000</v>
      </c>
      <c r="AK161" s="387">
        <f t="shared" si="103"/>
        <v>0</v>
      </c>
      <c r="AL161" s="387">
        <f t="shared" si="99"/>
        <v>16000</v>
      </c>
      <c r="AM161" s="388">
        <f t="shared" si="100"/>
        <v>0</v>
      </c>
    </row>
    <row r="162" spans="1:39" s="413" customFormat="1" ht="25.5" x14ac:dyDescent="0.2">
      <c r="A162" s="391" t="s">
        <v>586</v>
      </c>
      <c r="B162" s="411"/>
      <c r="C162" s="393">
        <v>5000</v>
      </c>
      <c r="D162" s="393">
        <v>5000</v>
      </c>
      <c r="E162" s="393">
        <v>4046</v>
      </c>
      <c r="F162" s="418">
        <v>5000</v>
      </c>
      <c r="G162" s="414"/>
      <c r="H162" s="414"/>
      <c r="I162" s="414"/>
      <c r="J162" s="421"/>
      <c r="K162" s="421"/>
      <c r="L162" s="421"/>
      <c r="M162" s="421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2"/>
      <c r="AC162" s="412"/>
      <c r="AD162" s="412"/>
      <c r="AE162" s="412"/>
      <c r="AF162" s="412"/>
      <c r="AG162" s="412"/>
      <c r="AH162" s="412"/>
      <c r="AI162" s="387">
        <f t="shared" si="101"/>
        <v>5000</v>
      </c>
      <c r="AJ162" s="387">
        <f t="shared" si="102"/>
        <v>5000</v>
      </c>
      <c r="AK162" s="387">
        <f t="shared" si="103"/>
        <v>4046</v>
      </c>
      <c r="AL162" s="387">
        <f t="shared" si="99"/>
        <v>5000</v>
      </c>
      <c r="AM162" s="388">
        <f t="shared" si="100"/>
        <v>0</v>
      </c>
    </row>
    <row r="163" spans="1:39" s="419" customFormat="1" ht="25.5" hidden="1" x14ac:dyDescent="0.2">
      <c r="A163" s="391" t="s">
        <v>587</v>
      </c>
      <c r="B163" s="416"/>
      <c r="C163" s="417"/>
      <c r="D163" s="417"/>
      <c r="E163" s="417"/>
      <c r="F163" s="394"/>
      <c r="G163" s="395"/>
      <c r="H163" s="395"/>
      <c r="I163" s="395"/>
      <c r="J163" s="421"/>
      <c r="K163" s="421"/>
      <c r="L163" s="421"/>
      <c r="M163" s="421"/>
      <c r="N163" s="446"/>
      <c r="O163" s="446"/>
      <c r="P163" s="446"/>
      <c r="Q163" s="446"/>
      <c r="R163" s="412"/>
      <c r="S163" s="412"/>
      <c r="T163" s="412"/>
      <c r="U163" s="412"/>
      <c r="V163" s="412"/>
      <c r="W163" s="412"/>
      <c r="X163" s="412"/>
      <c r="Y163" s="412"/>
      <c r="Z163" s="412"/>
      <c r="AA163" s="412"/>
      <c r="AB163" s="412"/>
      <c r="AC163" s="412"/>
      <c r="AD163" s="412"/>
      <c r="AE163" s="412"/>
      <c r="AF163" s="412"/>
      <c r="AG163" s="412"/>
      <c r="AH163" s="412"/>
      <c r="AI163" s="387">
        <f t="shared" si="101"/>
        <v>0</v>
      </c>
      <c r="AJ163" s="387">
        <f t="shared" si="102"/>
        <v>0</v>
      </c>
      <c r="AK163" s="387">
        <f t="shared" si="103"/>
        <v>0</v>
      </c>
      <c r="AL163" s="387">
        <f t="shared" si="99"/>
        <v>0</v>
      </c>
      <c r="AM163" s="388">
        <f t="shared" si="100"/>
        <v>0</v>
      </c>
    </row>
    <row r="164" spans="1:39" s="439" customFormat="1" ht="38.25" hidden="1" x14ac:dyDescent="0.25">
      <c r="A164" s="380" t="s">
        <v>588</v>
      </c>
      <c r="B164" s="438"/>
      <c r="C164" s="382"/>
      <c r="D164" s="382"/>
      <c r="E164" s="382"/>
      <c r="F164" s="459">
        <v>0</v>
      </c>
      <c r="G164" s="460"/>
      <c r="H164" s="460"/>
      <c r="I164" s="460"/>
      <c r="J164" s="385"/>
      <c r="K164" s="385"/>
      <c r="L164" s="385"/>
      <c r="M164" s="385"/>
      <c r="N164" s="412">
        <v>0</v>
      </c>
      <c r="O164" s="412"/>
      <c r="P164" s="412"/>
      <c r="Q164" s="412"/>
      <c r="R164" s="386"/>
      <c r="S164" s="386"/>
      <c r="T164" s="386"/>
      <c r="U164" s="386"/>
      <c r="V164" s="386">
        <v>0</v>
      </c>
      <c r="W164" s="386"/>
      <c r="X164" s="386"/>
      <c r="Y164" s="386"/>
      <c r="Z164" s="386">
        <v>0</v>
      </c>
      <c r="AA164" s="386"/>
      <c r="AB164" s="386"/>
      <c r="AC164" s="386"/>
      <c r="AD164" s="386"/>
      <c r="AE164" s="386"/>
      <c r="AF164" s="386"/>
      <c r="AG164" s="386"/>
      <c r="AH164" s="386">
        <v>0</v>
      </c>
      <c r="AI164" s="387">
        <f t="shared" si="101"/>
        <v>0</v>
      </c>
      <c r="AJ164" s="387">
        <f t="shared" si="102"/>
        <v>0</v>
      </c>
      <c r="AK164" s="387">
        <f t="shared" si="103"/>
        <v>0</v>
      </c>
      <c r="AL164" s="387">
        <f t="shared" si="99"/>
        <v>0</v>
      </c>
      <c r="AM164" s="388">
        <f t="shared" si="100"/>
        <v>0</v>
      </c>
    </row>
    <row r="165" spans="1:39" s="469" customFormat="1" ht="51" hidden="1" x14ac:dyDescent="0.25">
      <c r="A165" s="391" t="s">
        <v>589</v>
      </c>
      <c r="B165" s="416"/>
      <c r="C165" s="417"/>
      <c r="D165" s="417"/>
      <c r="E165" s="417"/>
      <c r="F165" s="394"/>
      <c r="G165" s="395"/>
      <c r="H165" s="395"/>
      <c r="I165" s="395"/>
      <c r="J165" s="446"/>
      <c r="K165" s="446"/>
      <c r="L165" s="446"/>
      <c r="M165" s="446"/>
      <c r="N165" s="386"/>
      <c r="O165" s="386"/>
      <c r="P165" s="386"/>
      <c r="Q165" s="386"/>
      <c r="R165" s="412"/>
      <c r="S165" s="412"/>
      <c r="T165" s="412"/>
      <c r="U165" s="412"/>
      <c r="V165" s="412"/>
      <c r="W165" s="412"/>
      <c r="X165" s="412"/>
      <c r="Y165" s="412"/>
      <c r="Z165" s="412"/>
      <c r="AA165" s="412"/>
      <c r="AB165" s="412"/>
      <c r="AC165" s="412"/>
      <c r="AD165" s="412"/>
      <c r="AE165" s="412"/>
      <c r="AF165" s="412"/>
      <c r="AG165" s="412"/>
      <c r="AH165" s="412"/>
      <c r="AI165" s="387">
        <f t="shared" si="101"/>
        <v>0</v>
      </c>
      <c r="AJ165" s="387">
        <f t="shared" si="102"/>
        <v>0</v>
      </c>
      <c r="AK165" s="387">
        <f t="shared" si="103"/>
        <v>0</v>
      </c>
      <c r="AL165" s="387">
        <f t="shared" si="99"/>
        <v>0</v>
      </c>
      <c r="AM165" s="388">
        <f t="shared" si="100"/>
        <v>0</v>
      </c>
    </row>
    <row r="166" spans="1:39" s="426" customFormat="1" ht="51" hidden="1" x14ac:dyDescent="0.25">
      <c r="A166" s="425" t="s">
        <v>590</v>
      </c>
      <c r="C166" s="427"/>
      <c r="D166" s="427"/>
      <c r="E166" s="427"/>
      <c r="F166" s="462"/>
      <c r="G166" s="463"/>
      <c r="H166" s="463"/>
      <c r="I166" s="463"/>
      <c r="J166" s="464">
        <v>0</v>
      </c>
      <c r="K166" s="464"/>
      <c r="L166" s="464"/>
      <c r="M166" s="464"/>
      <c r="N166" s="464">
        <v>0</v>
      </c>
      <c r="O166" s="464"/>
      <c r="P166" s="464"/>
      <c r="Q166" s="464"/>
      <c r="R166" s="464">
        <v>0</v>
      </c>
      <c r="S166" s="464"/>
      <c r="T166" s="464"/>
      <c r="U166" s="464"/>
      <c r="V166" s="464">
        <v>0</v>
      </c>
      <c r="W166" s="464"/>
      <c r="X166" s="464"/>
      <c r="Y166" s="464"/>
      <c r="Z166" s="464">
        <v>0</v>
      </c>
      <c r="AA166" s="464"/>
      <c r="AB166" s="464"/>
      <c r="AC166" s="464"/>
      <c r="AD166" s="464">
        <v>0</v>
      </c>
      <c r="AE166" s="464"/>
      <c r="AF166" s="464"/>
      <c r="AG166" s="464"/>
      <c r="AH166" s="464">
        <v>0</v>
      </c>
      <c r="AI166" s="387">
        <f t="shared" si="101"/>
        <v>0</v>
      </c>
      <c r="AJ166" s="387">
        <f t="shared" si="102"/>
        <v>0</v>
      </c>
      <c r="AK166" s="387">
        <f t="shared" si="103"/>
        <v>0</v>
      </c>
      <c r="AL166" s="387">
        <f t="shared" si="99"/>
        <v>0</v>
      </c>
      <c r="AM166" s="388">
        <f t="shared" si="100"/>
        <v>0</v>
      </c>
    </row>
    <row r="167" spans="1:39" s="419" customFormat="1" hidden="1" x14ac:dyDescent="0.2">
      <c r="A167" s="391" t="s">
        <v>591</v>
      </c>
      <c r="B167" s="416"/>
      <c r="C167" s="417"/>
      <c r="D167" s="417"/>
      <c r="E167" s="417"/>
      <c r="F167" s="418"/>
      <c r="G167" s="414"/>
      <c r="H167" s="414"/>
      <c r="I167" s="414"/>
      <c r="J167" s="283"/>
      <c r="K167" s="283"/>
      <c r="L167" s="283"/>
      <c r="M167" s="283"/>
      <c r="N167" s="415"/>
      <c r="O167" s="415"/>
      <c r="P167" s="415"/>
      <c r="Q167" s="415"/>
      <c r="R167" s="415"/>
      <c r="S167" s="415"/>
      <c r="T167" s="415"/>
      <c r="U167" s="415"/>
      <c r="V167" s="415"/>
      <c r="W167" s="415"/>
      <c r="X167" s="415"/>
      <c r="Y167" s="415"/>
      <c r="Z167" s="415"/>
      <c r="AA167" s="415"/>
      <c r="AB167" s="415"/>
      <c r="AC167" s="415"/>
      <c r="AD167" s="415"/>
      <c r="AE167" s="415"/>
      <c r="AF167" s="415"/>
      <c r="AG167" s="415"/>
      <c r="AH167" s="415"/>
      <c r="AI167" s="387">
        <f t="shared" si="101"/>
        <v>0</v>
      </c>
      <c r="AJ167" s="387">
        <f t="shared" si="102"/>
        <v>0</v>
      </c>
      <c r="AK167" s="387">
        <f t="shared" si="103"/>
        <v>0</v>
      </c>
      <c r="AL167" s="387">
        <f t="shared" si="99"/>
        <v>0</v>
      </c>
      <c r="AM167" s="388">
        <f t="shared" si="100"/>
        <v>0</v>
      </c>
    </row>
    <row r="168" spans="1:39" s="419" customFormat="1" ht="25.5" hidden="1" x14ac:dyDescent="0.2">
      <c r="A168" s="391" t="s">
        <v>592</v>
      </c>
      <c r="B168" s="416"/>
      <c r="C168" s="417"/>
      <c r="D168" s="417"/>
      <c r="E168" s="417"/>
      <c r="F168" s="418"/>
      <c r="G168" s="414"/>
      <c r="H168" s="414"/>
      <c r="I168" s="414"/>
      <c r="J168" s="283"/>
      <c r="K168" s="283"/>
      <c r="L168" s="283"/>
      <c r="M168" s="283"/>
      <c r="N168" s="415"/>
      <c r="O168" s="415"/>
      <c r="P168" s="415"/>
      <c r="Q168" s="415"/>
      <c r="R168" s="415"/>
      <c r="S168" s="415"/>
      <c r="T168" s="415"/>
      <c r="U168" s="415"/>
      <c r="V168" s="415"/>
      <c r="W168" s="415"/>
      <c r="X168" s="415"/>
      <c r="Y168" s="415"/>
      <c r="Z168" s="415"/>
      <c r="AA168" s="415"/>
      <c r="AB168" s="415"/>
      <c r="AC168" s="415"/>
      <c r="AD168" s="415"/>
      <c r="AE168" s="415"/>
      <c r="AF168" s="415"/>
      <c r="AG168" s="415"/>
      <c r="AH168" s="415"/>
      <c r="AI168" s="387">
        <f t="shared" si="101"/>
        <v>0</v>
      </c>
      <c r="AJ168" s="387">
        <f t="shared" si="102"/>
        <v>0</v>
      </c>
      <c r="AK168" s="387">
        <f t="shared" si="103"/>
        <v>0</v>
      </c>
      <c r="AL168" s="387">
        <f t="shared" si="99"/>
        <v>0</v>
      </c>
      <c r="AM168" s="388">
        <f t="shared" si="100"/>
        <v>0</v>
      </c>
    </row>
    <row r="169" spans="1:39" s="419" customFormat="1" hidden="1" x14ac:dyDescent="0.2">
      <c r="A169" s="391" t="s">
        <v>593</v>
      </c>
      <c r="B169" s="416"/>
      <c r="C169" s="417"/>
      <c r="D169" s="417"/>
      <c r="E169" s="417"/>
      <c r="F169" s="394"/>
      <c r="G169" s="395"/>
      <c r="H169" s="395"/>
      <c r="I169" s="395"/>
      <c r="J169" s="283"/>
      <c r="K169" s="283"/>
      <c r="L169" s="283"/>
      <c r="M169" s="283"/>
      <c r="N169" s="415"/>
      <c r="O169" s="415"/>
      <c r="P169" s="415"/>
      <c r="Q169" s="415"/>
      <c r="R169" s="415"/>
      <c r="S169" s="415"/>
      <c r="T169" s="415"/>
      <c r="U169" s="415"/>
      <c r="V169" s="415"/>
      <c r="W169" s="415"/>
      <c r="X169" s="415"/>
      <c r="Y169" s="415"/>
      <c r="Z169" s="415"/>
      <c r="AA169" s="415"/>
      <c r="AB169" s="415"/>
      <c r="AC169" s="415"/>
      <c r="AD169" s="415"/>
      <c r="AE169" s="415"/>
      <c r="AF169" s="415"/>
      <c r="AG169" s="415"/>
      <c r="AH169" s="415"/>
      <c r="AI169" s="387">
        <f t="shared" si="101"/>
        <v>0</v>
      </c>
      <c r="AJ169" s="387">
        <f t="shared" si="102"/>
        <v>0</v>
      </c>
      <c r="AK169" s="387">
        <f t="shared" si="103"/>
        <v>0</v>
      </c>
      <c r="AL169" s="387">
        <f t="shared" si="99"/>
        <v>0</v>
      </c>
      <c r="AM169" s="388">
        <f t="shared" si="100"/>
        <v>0</v>
      </c>
    </row>
    <row r="170" spans="1:39" s="419" customFormat="1" hidden="1" x14ac:dyDescent="0.2">
      <c r="A170" s="391" t="s">
        <v>594</v>
      </c>
      <c r="B170" s="416"/>
      <c r="C170" s="417"/>
      <c r="D170" s="417"/>
      <c r="E170" s="417"/>
      <c r="F170" s="418"/>
      <c r="G170" s="414"/>
      <c r="H170" s="414"/>
      <c r="I170" s="414"/>
      <c r="J170" s="421"/>
      <c r="K170" s="421"/>
      <c r="L170" s="421"/>
      <c r="M170" s="421"/>
      <c r="N170" s="412"/>
      <c r="O170" s="412"/>
      <c r="P170" s="412"/>
      <c r="Q170" s="412"/>
      <c r="R170" s="412"/>
      <c r="S170" s="412"/>
      <c r="T170" s="412"/>
      <c r="U170" s="412"/>
      <c r="V170" s="412"/>
      <c r="W170" s="412"/>
      <c r="X170" s="412"/>
      <c r="Y170" s="412"/>
      <c r="Z170" s="412"/>
      <c r="AA170" s="412"/>
      <c r="AB170" s="412"/>
      <c r="AC170" s="412"/>
      <c r="AD170" s="412"/>
      <c r="AE170" s="412"/>
      <c r="AF170" s="412"/>
      <c r="AG170" s="412"/>
      <c r="AH170" s="412"/>
      <c r="AI170" s="387">
        <f t="shared" si="101"/>
        <v>0</v>
      </c>
      <c r="AJ170" s="387">
        <f t="shared" si="102"/>
        <v>0</v>
      </c>
      <c r="AK170" s="387">
        <f t="shared" si="103"/>
        <v>0</v>
      </c>
      <c r="AL170" s="387">
        <f t="shared" si="99"/>
        <v>0</v>
      </c>
      <c r="AM170" s="388">
        <f t="shared" si="100"/>
        <v>0</v>
      </c>
    </row>
    <row r="171" spans="1:39" s="419" customFormat="1" hidden="1" x14ac:dyDescent="0.2">
      <c r="A171" s="391" t="s">
        <v>595</v>
      </c>
      <c r="B171" s="416"/>
      <c r="C171" s="417"/>
      <c r="D171" s="417"/>
      <c r="E171" s="417"/>
      <c r="F171" s="418"/>
      <c r="G171" s="414"/>
      <c r="H171" s="414"/>
      <c r="I171" s="414"/>
      <c r="J171" s="421"/>
      <c r="K171" s="421"/>
      <c r="L171" s="421"/>
      <c r="M171" s="421"/>
      <c r="N171" s="412"/>
      <c r="O171" s="412"/>
      <c r="P171" s="412"/>
      <c r="Q171" s="412"/>
      <c r="R171" s="412"/>
      <c r="S171" s="412"/>
      <c r="T171" s="412"/>
      <c r="U171" s="412"/>
      <c r="V171" s="412"/>
      <c r="W171" s="412"/>
      <c r="X171" s="412"/>
      <c r="Y171" s="412"/>
      <c r="Z171" s="412"/>
      <c r="AA171" s="412"/>
      <c r="AB171" s="412"/>
      <c r="AC171" s="412"/>
      <c r="AD171" s="412"/>
      <c r="AE171" s="412"/>
      <c r="AF171" s="412"/>
      <c r="AG171" s="412"/>
      <c r="AH171" s="412"/>
      <c r="AI171" s="387">
        <f t="shared" si="101"/>
        <v>0</v>
      </c>
      <c r="AJ171" s="387">
        <f t="shared" si="102"/>
        <v>0</v>
      </c>
      <c r="AK171" s="387">
        <f t="shared" si="103"/>
        <v>0</v>
      </c>
      <c r="AL171" s="387">
        <f t="shared" si="99"/>
        <v>0</v>
      </c>
      <c r="AM171" s="388">
        <f t="shared" si="100"/>
        <v>0</v>
      </c>
    </row>
    <row r="172" spans="1:39" s="419" customFormat="1" ht="25.5" hidden="1" x14ac:dyDescent="0.2">
      <c r="A172" s="391" t="s">
        <v>596</v>
      </c>
      <c r="B172" s="416"/>
      <c r="C172" s="417"/>
      <c r="D172" s="417"/>
      <c r="E172" s="417"/>
      <c r="F172" s="418"/>
      <c r="G172" s="414"/>
      <c r="H172" s="414"/>
      <c r="I172" s="414"/>
      <c r="J172" s="421"/>
      <c r="K172" s="421"/>
      <c r="L172" s="421"/>
      <c r="M172" s="421"/>
      <c r="N172" s="412"/>
      <c r="O172" s="412"/>
      <c r="P172" s="412"/>
      <c r="Q172" s="412"/>
      <c r="R172" s="412"/>
      <c r="S172" s="412"/>
      <c r="T172" s="412"/>
      <c r="U172" s="412"/>
      <c r="V172" s="412"/>
      <c r="W172" s="412"/>
      <c r="X172" s="412"/>
      <c r="Y172" s="412"/>
      <c r="Z172" s="412"/>
      <c r="AA172" s="412"/>
      <c r="AB172" s="412"/>
      <c r="AC172" s="412"/>
      <c r="AD172" s="412"/>
      <c r="AE172" s="412"/>
      <c r="AF172" s="412"/>
      <c r="AG172" s="412"/>
      <c r="AH172" s="412"/>
      <c r="AI172" s="387">
        <f t="shared" si="101"/>
        <v>0</v>
      </c>
      <c r="AJ172" s="387">
        <f t="shared" si="102"/>
        <v>0</v>
      </c>
      <c r="AK172" s="387">
        <f t="shared" si="103"/>
        <v>0</v>
      </c>
      <c r="AL172" s="387">
        <f t="shared" si="99"/>
        <v>0</v>
      </c>
      <c r="AM172" s="388">
        <f t="shared" si="100"/>
        <v>0</v>
      </c>
    </row>
    <row r="173" spans="1:39" s="419" customFormat="1" ht="38.25" hidden="1" x14ac:dyDescent="0.2">
      <c r="A173" s="391" t="s">
        <v>597</v>
      </c>
      <c r="B173" s="416"/>
      <c r="C173" s="417"/>
      <c r="D173" s="417"/>
      <c r="E173" s="417"/>
      <c r="F173" s="418"/>
      <c r="G173" s="414"/>
      <c r="H173" s="414"/>
      <c r="I173" s="414"/>
      <c r="J173" s="421"/>
      <c r="K173" s="421"/>
      <c r="L173" s="421"/>
      <c r="M173" s="421"/>
      <c r="N173" s="412"/>
      <c r="O173" s="412"/>
      <c r="P173" s="412"/>
      <c r="Q173" s="412"/>
      <c r="R173" s="412"/>
      <c r="S173" s="412"/>
      <c r="T173" s="412"/>
      <c r="U173" s="412"/>
      <c r="V173" s="412"/>
      <c r="W173" s="412"/>
      <c r="X173" s="412"/>
      <c r="Y173" s="412"/>
      <c r="Z173" s="412"/>
      <c r="AA173" s="412"/>
      <c r="AB173" s="412"/>
      <c r="AC173" s="412"/>
      <c r="AD173" s="412"/>
      <c r="AE173" s="412"/>
      <c r="AF173" s="412"/>
      <c r="AG173" s="412"/>
      <c r="AH173" s="412"/>
      <c r="AI173" s="387">
        <f t="shared" si="101"/>
        <v>0</v>
      </c>
      <c r="AJ173" s="387">
        <f t="shared" si="102"/>
        <v>0</v>
      </c>
      <c r="AK173" s="387">
        <f t="shared" si="103"/>
        <v>0</v>
      </c>
      <c r="AL173" s="387">
        <f t="shared" si="99"/>
        <v>0</v>
      </c>
      <c r="AM173" s="388">
        <f t="shared" si="100"/>
        <v>0</v>
      </c>
    </row>
    <row r="174" spans="1:39" s="419" customFormat="1" hidden="1" x14ac:dyDescent="0.2">
      <c r="A174" s="391" t="s">
        <v>598</v>
      </c>
      <c r="B174" s="416"/>
      <c r="C174" s="417"/>
      <c r="D174" s="417"/>
      <c r="E174" s="417"/>
      <c r="F174" s="418"/>
      <c r="G174" s="414"/>
      <c r="H174" s="414"/>
      <c r="I174" s="414"/>
      <c r="J174" s="421"/>
      <c r="K174" s="421"/>
      <c r="L174" s="421"/>
      <c r="M174" s="421"/>
      <c r="N174" s="412"/>
      <c r="O174" s="412"/>
      <c r="P174" s="412"/>
      <c r="Q174" s="412"/>
      <c r="R174" s="412"/>
      <c r="S174" s="412"/>
      <c r="T174" s="412"/>
      <c r="U174" s="412"/>
      <c r="V174" s="412"/>
      <c r="W174" s="412"/>
      <c r="X174" s="412"/>
      <c r="Y174" s="412"/>
      <c r="Z174" s="412"/>
      <c r="AA174" s="412"/>
      <c r="AB174" s="412"/>
      <c r="AC174" s="412"/>
      <c r="AD174" s="412"/>
      <c r="AE174" s="412"/>
      <c r="AF174" s="412"/>
      <c r="AG174" s="412"/>
      <c r="AH174" s="412"/>
      <c r="AI174" s="387">
        <f t="shared" si="101"/>
        <v>0</v>
      </c>
      <c r="AJ174" s="387">
        <f t="shared" si="102"/>
        <v>0</v>
      </c>
      <c r="AK174" s="387">
        <f t="shared" si="103"/>
        <v>0</v>
      </c>
      <c r="AL174" s="387">
        <f t="shared" si="99"/>
        <v>0</v>
      </c>
      <c r="AM174" s="388">
        <f t="shared" si="100"/>
        <v>0</v>
      </c>
    </row>
    <row r="175" spans="1:39" s="419" customFormat="1" hidden="1" x14ac:dyDescent="0.2">
      <c r="A175" s="391" t="s">
        <v>599</v>
      </c>
      <c r="B175" s="416"/>
      <c r="C175" s="417"/>
      <c r="D175" s="417"/>
      <c r="E175" s="417"/>
      <c r="F175" s="418"/>
      <c r="G175" s="414"/>
      <c r="H175" s="414"/>
      <c r="I175" s="414"/>
      <c r="J175" s="421"/>
      <c r="K175" s="421"/>
      <c r="L175" s="421"/>
      <c r="M175" s="421"/>
      <c r="N175" s="412"/>
      <c r="O175" s="412"/>
      <c r="P175" s="412"/>
      <c r="Q175" s="412"/>
      <c r="R175" s="412"/>
      <c r="S175" s="412"/>
      <c r="T175" s="412"/>
      <c r="U175" s="412"/>
      <c r="V175" s="412"/>
      <c r="W175" s="412"/>
      <c r="X175" s="412"/>
      <c r="Y175" s="412"/>
      <c r="Z175" s="412"/>
      <c r="AA175" s="412"/>
      <c r="AB175" s="412"/>
      <c r="AC175" s="412"/>
      <c r="AD175" s="412"/>
      <c r="AE175" s="412"/>
      <c r="AF175" s="412"/>
      <c r="AG175" s="412"/>
      <c r="AH175" s="412"/>
      <c r="AI175" s="387">
        <f t="shared" si="101"/>
        <v>0</v>
      </c>
      <c r="AJ175" s="387">
        <f t="shared" si="102"/>
        <v>0</v>
      </c>
      <c r="AK175" s="387">
        <f t="shared" si="103"/>
        <v>0</v>
      </c>
      <c r="AL175" s="387">
        <f t="shared" si="99"/>
        <v>0</v>
      </c>
      <c r="AM175" s="388">
        <f t="shared" si="100"/>
        <v>0</v>
      </c>
    </row>
    <row r="176" spans="1:39" s="419" customFormat="1" ht="25.5" hidden="1" x14ac:dyDescent="0.2">
      <c r="A176" s="391" t="s">
        <v>600</v>
      </c>
      <c r="B176" s="416"/>
      <c r="C176" s="417"/>
      <c r="D176" s="417"/>
      <c r="E176" s="417"/>
      <c r="F176" s="418"/>
      <c r="G176" s="414"/>
      <c r="H176" s="414"/>
      <c r="I176" s="414"/>
      <c r="J176" s="421"/>
      <c r="K176" s="421"/>
      <c r="L176" s="421"/>
      <c r="M176" s="421"/>
      <c r="N176" s="412"/>
      <c r="O176" s="412"/>
      <c r="P176" s="412"/>
      <c r="Q176" s="412"/>
      <c r="R176" s="412"/>
      <c r="S176" s="412"/>
      <c r="T176" s="412"/>
      <c r="U176" s="412"/>
      <c r="V176" s="412"/>
      <c r="W176" s="412"/>
      <c r="X176" s="412"/>
      <c r="Y176" s="412"/>
      <c r="Z176" s="412"/>
      <c r="AA176" s="412"/>
      <c r="AB176" s="412"/>
      <c r="AC176" s="412"/>
      <c r="AD176" s="412"/>
      <c r="AE176" s="412"/>
      <c r="AF176" s="412"/>
      <c r="AG176" s="412"/>
      <c r="AH176" s="412"/>
      <c r="AI176" s="387">
        <f t="shared" si="101"/>
        <v>0</v>
      </c>
      <c r="AJ176" s="387">
        <f t="shared" si="102"/>
        <v>0</v>
      </c>
      <c r="AK176" s="387">
        <f t="shared" si="103"/>
        <v>0</v>
      </c>
      <c r="AL176" s="387">
        <f t="shared" si="99"/>
        <v>0</v>
      </c>
      <c r="AM176" s="388">
        <f t="shared" si="100"/>
        <v>0</v>
      </c>
    </row>
    <row r="177" spans="1:39" s="419" customFormat="1" hidden="1" x14ac:dyDescent="0.2">
      <c r="A177" s="391" t="s">
        <v>601</v>
      </c>
      <c r="B177" s="416"/>
      <c r="C177" s="417"/>
      <c r="D177" s="417"/>
      <c r="E177" s="417"/>
      <c r="F177" s="418"/>
      <c r="G177" s="414"/>
      <c r="H177" s="414"/>
      <c r="I177" s="414"/>
      <c r="J177" s="421"/>
      <c r="K177" s="421"/>
      <c r="L177" s="421"/>
      <c r="M177" s="421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2"/>
      <c r="AC177" s="412"/>
      <c r="AD177" s="412"/>
      <c r="AE177" s="412"/>
      <c r="AF177" s="412"/>
      <c r="AG177" s="412"/>
      <c r="AH177" s="412"/>
      <c r="AI177" s="387">
        <f t="shared" si="101"/>
        <v>0</v>
      </c>
      <c r="AJ177" s="387">
        <f t="shared" si="102"/>
        <v>0</v>
      </c>
      <c r="AK177" s="387">
        <f t="shared" si="103"/>
        <v>0</v>
      </c>
      <c r="AL177" s="387">
        <f t="shared" si="99"/>
        <v>0</v>
      </c>
      <c r="AM177" s="388">
        <f t="shared" si="100"/>
        <v>0</v>
      </c>
    </row>
    <row r="178" spans="1:39" s="455" customFormat="1" hidden="1" x14ac:dyDescent="0.25">
      <c r="A178" s="380" t="s">
        <v>602</v>
      </c>
      <c r="B178" s="381"/>
      <c r="C178" s="382"/>
      <c r="D178" s="382"/>
      <c r="E178" s="382"/>
      <c r="F178" s="383"/>
      <c r="G178" s="384"/>
      <c r="H178" s="384"/>
      <c r="I178" s="384"/>
      <c r="J178" s="405"/>
      <c r="K178" s="405"/>
      <c r="L178" s="405"/>
      <c r="M178" s="405"/>
      <c r="N178" s="422"/>
      <c r="O178" s="422"/>
      <c r="P178" s="422"/>
      <c r="Q178" s="422"/>
      <c r="R178" s="422"/>
      <c r="S178" s="422"/>
      <c r="T178" s="422"/>
      <c r="U178" s="422"/>
      <c r="V178" s="422"/>
      <c r="W178" s="422"/>
      <c r="X178" s="422"/>
      <c r="Y178" s="422"/>
      <c r="Z178" s="422"/>
      <c r="AA178" s="422"/>
      <c r="AB178" s="422"/>
      <c r="AC178" s="422"/>
      <c r="AD178" s="422"/>
      <c r="AE178" s="422"/>
      <c r="AF178" s="422"/>
      <c r="AG178" s="422"/>
      <c r="AH178" s="422"/>
      <c r="AI178" s="387">
        <f t="shared" si="101"/>
        <v>0</v>
      </c>
      <c r="AJ178" s="387">
        <f t="shared" si="102"/>
        <v>0</v>
      </c>
      <c r="AK178" s="387">
        <f t="shared" si="103"/>
        <v>0</v>
      </c>
      <c r="AL178" s="387">
        <f t="shared" si="99"/>
        <v>0</v>
      </c>
      <c r="AM178" s="388">
        <f t="shared" si="100"/>
        <v>0</v>
      </c>
    </row>
    <row r="179" spans="1:39" s="455" customFormat="1" x14ac:dyDescent="0.25">
      <c r="A179" s="425" t="s">
        <v>603</v>
      </c>
      <c r="B179" s="426"/>
      <c r="C179" s="427">
        <v>4500</v>
      </c>
      <c r="D179" s="427">
        <v>4500</v>
      </c>
      <c r="E179" s="427">
        <v>3222.1410000000001</v>
      </c>
      <c r="F179" s="427">
        <v>4500</v>
      </c>
      <c r="G179" s="384"/>
      <c r="H179" s="384"/>
      <c r="I179" s="384"/>
      <c r="J179" s="405"/>
      <c r="K179" s="405"/>
      <c r="L179" s="405"/>
      <c r="M179" s="405"/>
      <c r="N179" s="422"/>
      <c r="O179" s="422"/>
      <c r="P179" s="422"/>
      <c r="Q179" s="422"/>
      <c r="R179" s="422"/>
      <c r="S179" s="422"/>
      <c r="T179" s="422"/>
      <c r="U179" s="422"/>
      <c r="V179" s="422"/>
      <c r="W179" s="422"/>
      <c r="X179" s="422"/>
      <c r="Y179" s="422"/>
      <c r="Z179" s="422"/>
      <c r="AA179" s="422"/>
      <c r="AB179" s="422"/>
      <c r="AC179" s="422"/>
      <c r="AD179" s="422"/>
      <c r="AE179" s="422"/>
      <c r="AF179" s="422"/>
      <c r="AG179" s="422"/>
      <c r="AH179" s="422"/>
      <c r="AI179" s="387">
        <f t="shared" si="101"/>
        <v>4500</v>
      </c>
      <c r="AJ179" s="387">
        <f t="shared" si="102"/>
        <v>4500</v>
      </c>
      <c r="AK179" s="387">
        <f t="shared" si="103"/>
        <v>3222.1410000000001</v>
      </c>
      <c r="AL179" s="387">
        <f t="shared" si="99"/>
        <v>4500</v>
      </c>
      <c r="AM179" s="388">
        <f t="shared" si="100"/>
        <v>0</v>
      </c>
    </row>
    <row r="180" spans="1:39" s="455" customFormat="1" ht="25.5" x14ac:dyDescent="0.25">
      <c r="A180" s="380" t="s">
        <v>604</v>
      </c>
      <c r="B180" s="381"/>
      <c r="C180" s="382"/>
      <c r="D180" s="382"/>
      <c r="E180" s="382"/>
      <c r="F180" s="383"/>
      <c r="G180" s="384"/>
      <c r="H180" s="384"/>
      <c r="I180" s="384"/>
      <c r="J180" s="456"/>
      <c r="K180" s="456"/>
      <c r="L180" s="456"/>
      <c r="M180" s="456"/>
      <c r="N180" s="456"/>
      <c r="O180" s="456"/>
      <c r="P180" s="456"/>
      <c r="Q180" s="456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2"/>
      <c r="AC180" s="422"/>
      <c r="AD180" s="422"/>
      <c r="AE180" s="422"/>
      <c r="AF180" s="422"/>
      <c r="AG180" s="422"/>
      <c r="AH180" s="422"/>
      <c r="AI180" s="387">
        <f t="shared" si="101"/>
        <v>0</v>
      </c>
      <c r="AJ180" s="387">
        <f t="shared" si="102"/>
        <v>0</v>
      </c>
      <c r="AK180" s="387">
        <f t="shared" si="103"/>
        <v>0</v>
      </c>
      <c r="AL180" s="387">
        <f t="shared" si="99"/>
        <v>0</v>
      </c>
      <c r="AM180" s="388">
        <f t="shared" si="100"/>
        <v>0</v>
      </c>
    </row>
    <row r="181" spans="1:39" s="426" customFormat="1" ht="25.5" x14ac:dyDescent="0.25">
      <c r="A181" s="425" t="s">
        <v>1142</v>
      </c>
      <c r="C181" s="427">
        <f>+C182+C183+C184+C185+C186+C189</f>
        <v>830857</v>
      </c>
      <c r="D181" s="427">
        <f>+D182+D183+D184+D185+D186+D189</f>
        <v>893288</v>
      </c>
      <c r="E181" s="427">
        <v>391352.43900000001</v>
      </c>
      <c r="F181" s="428">
        <f>SUM(F182:F189)</f>
        <v>830857</v>
      </c>
      <c r="G181" s="463"/>
      <c r="H181" s="463"/>
      <c r="I181" s="463"/>
      <c r="J181" s="464">
        <v>0</v>
      </c>
      <c r="K181" s="464"/>
      <c r="L181" s="464"/>
      <c r="M181" s="464"/>
      <c r="N181" s="464">
        <v>0</v>
      </c>
      <c r="O181" s="464"/>
      <c r="P181" s="464"/>
      <c r="Q181" s="464"/>
      <c r="R181" s="464">
        <v>0</v>
      </c>
      <c r="S181" s="464"/>
      <c r="T181" s="464"/>
      <c r="U181" s="464"/>
      <c r="V181" s="464">
        <v>0</v>
      </c>
      <c r="W181" s="464"/>
      <c r="X181" s="464"/>
      <c r="Y181" s="464"/>
      <c r="Z181" s="464">
        <v>0</v>
      </c>
      <c r="AA181" s="464"/>
      <c r="AB181" s="464"/>
      <c r="AC181" s="464"/>
      <c r="AD181" s="464">
        <v>0</v>
      </c>
      <c r="AE181" s="464"/>
      <c r="AF181" s="464"/>
      <c r="AG181" s="464"/>
      <c r="AH181" s="464">
        <v>0</v>
      </c>
      <c r="AI181" s="387">
        <f t="shared" si="101"/>
        <v>830857</v>
      </c>
      <c r="AJ181" s="387">
        <f t="shared" si="102"/>
        <v>893288</v>
      </c>
      <c r="AK181" s="387">
        <f t="shared" si="103"/>
        <v>391352.43900000001</v>
      </c>
      <c r="AL181" s="387">
        <f t="shared" si="99"/>
        <v>830857</v>
      </c>
      <c r="AM181" s="388">
        <f t="shared" si="100"/>
        <v>0</v>
      </c>
    </row>
    <row r="182" spans="1:39" s="413" customFormat="1" x14ac:dyDescent="0.2">
      <c r="A182" s="391" t="s">
        <v>605</v>
      </c>
      <c r="B182" s="411"/>
      <c r="C182" s="393">
        <v>10000</v>
      </c>
      <c r="D182" s="393">
        <v>10000</v>
      </c>
      <c r="E182" s="393">
        <v>6079.49</v>
      </c>
      <c r="F182" s="418">
        <v>10000</v>
      </c>
      <c r="G182" s="414"/>
      <c r="H182" s="414"/>
      <c r="I182" s="414"/>
      <c r="J182" s="421"/>
      <c r="K182" s="421"/>
      <c r="L182" s="421"/>
      <c r="M182" s="421"/>
      <c r="N182" s="412"/>
      <c r="O182" s="412"/>
      <c r="P182" s="412"/>
      <c r="Q182" s="412"/>
      <c r="R182" s="412"/>
      <c r="S182" s="412"/>
      <c r="T182" s="412"/>
      <c r="U182" s="412"/>
      <c r="V182" s="412"/>
      <c r="W182" s="412"/>
      <c r="X182" s="412"/>
      <c r="Y182" s="412"/>
      <c r="Z182" s="412"/>
      <c r="AA182" s="412"/>
      <c r="AB182" s="412"/>
      <c r="AC182" s="412"/>
      <c r="AD182" s="412"/>
      <c r="AE182" s="412"/>
      <c r="AF182" s="412"/>
      <c r="AG182" s="412"/>
      <c r="AH182" s="412"/>
      <c r="AI182" s="387">
        <f t="shared" si="101"/>
        <v>10000</v>
      </c>
      <c r="AJ182" s="387">
        <f t="shared" si="102"/>
        <v>10000</v>
      </c>
      <c r="AK182" s="387">
        <f t="shared" si="103"/>
        <v>6079.49</v>
      </c>
      <c r="AL182" s="387">
        <f t="shared" si="99"/>
        <v>10000</v>
      </c>
      <c r="AM182" s="388">
        <f t="shared" si="100"/>
        <v>0</v>
      </c>
    </row>
    <row r="183" spans="1:39" s="413" customFormat="1" ht="25.5" x14ac:dyDescent="0.2">
      <c r="A183" s="391" t="s">
        <v>606</v>
      </c>
      <c r="B183" s="411"/>
      <c r="C183" s="393">
        <v>609212</v>
      </c>
      <c r="D183" s="393">
        <f>609212+60000</f>
        <v>669212</v>
      </c>
      <c r="E183" s="393">
        <v>42750</v>
      </c>
      <c r="F183" s="418">
        <v>609212</v>
      </c>
      <c r="G183" s="414"/>
      <c r="H183" s="414"/>
      <c r="I183" s="414"/>
      <c r="J183" s="421"/>
      <c r="K183" s="421"/>
      <c r="L183" s="421"/>
      <c r="M183" s="421"/>
      <c r="N183" s="412"/>
      <c r="O183" s="412"/>
      <c r="P183" s="412"/>
      <c r="Q183" s="412"/>
      <c r="R183" s="412"/>
      <c r="S183" s="412"/>
      <c r="T183" s="412"/>
      <c r="U183" s="412"/>
      <c r="V183" s="412"/>
      <c r="W183" s="412"/>
      <c r="X183" s="412"/>
      <c r="Y183" s="412"/>
      <c r="Z183" s="412"/>
      <c r="AA183" s="412"/>
      <c r="AB183" s="412"/>
      <c r="AC183" s="412"/>
      <c r="AD183" s="412"/>
      <c r="AE183" s="412"/>
      <c r="AF183" s="412"/>
      <c r="AG183" s="412"/>
      <c r="AH183" s="412"/>
      <c r="AI183" s="387">
        <f t="shared" si="101"/>
        <v>609212</v>
      </c>
      <c r="AJ183" s="387">
        <f t="shared" si="102"/>
        <v>669212</v>
      </c>
      <c r="AK183" s="387">
        <f t="shared" si="103"/>
        <v>42750</v>
      </c>
      <c r="AL183" s="387">
        <f t="shared" si="99"/>
        <v>609212</v>
      </c>
      <c r="AM183" s="388">
        <f t="shared" si="100"/>
        <v>0</v>
      </c>
    </row>
    <row r="184" spans="1:39" s="413" customFormat="1" x14ac:dyDescent="0.2">
      <c r="A184" s="391" t="s">
        <v>607</v>
      </c>
      <c r="B184" s="411"/>
      <c r="C184" s="393">
        <v>111270</v>
      </c>
      <c r="D184" s="393">
        <f>111270+2431</f>
        <v>113701</v>
      </c>
      <c r="E184" s="393">
        <v>60299.514000000003</v>
      </c>
      <c r="F184" s="418">
        <v>111270</v>
      </c>
      <c r="G184" s="414"/>
      <c r="H184" s="414"/>
      <c r="I184" s="414"/>
      <c r="J184" s="421"/>
      <c r="K184" s="421"/>
      <c r="L184" s="421"/>
      <c r="M184" s="421"/>
      <c r="N184" s="412"/>
      <c r="O184" s="412"/>
      <c r="P184" s="412"/>
      <c r="Q184" s="412"/>
      <c r="R184" s="412"/>
      <c r="S184" s="412"/>
      <c r="T184" s="412"/>
      <c r="U184" s="412"/>
      <c r="V184" s="412"/>
      <c r="W184" s="412"/>
      <c r="X184" s="412"/>
      <c r="Y184" s="412"/>
      <c r="Z184" s="412"/>
      <c r="AA184" s="412"/>
      <c r="AB184" s="412"/>
      <c r="AC184" s="412"/>
      <c r="AD184" s="412"/>
      <c r="AE184" s="412"/>
      <c r="AF184" s="412"/>
      <c r="AG184" s="412"/>
      <c r="AH184" s="412"/>
      <c r="AI184" s="387">
        <f t="shared" si="101"/>
        <v>111270</v>
      </c>
      <c r="AJ184" s="387">
        <f t="shared" si="102"/>
        <v>113701</v>
      </c>
      <c r="AK184" s="387">
        <f t="shared" si="103"/>
        <v>60299.514000000003</v>
      </c>
      <c r="AL184" s="387">
        <f t="shared" si="99"/>
        <v>111270</v>
      </c>
      <c r="AM184" s="388">
        <f t="shared" si="100"/>
        <v>0</v>
      </c>
    </row>
    <row r="185" spans="1:39" s="413" customFormat="1" x14ac:dyDescent="0.2">
      <c r="A185" s="391" t="s">
        <v>608</v>
      </c>
      <c r="B185" s="411"/>
      <c r="C185" s="393">
        <v>97375</v>
      </c>
      <c r="D185" s="393">
        <v>97375</v>
      </c>
      <c r="E185" s="393">
        <v>4352.0150000000003</v>
      </c>
      <c r="F185" s="418">
        <v>97375</v>
      </c>
      <c r="G185" s="414"/>
      <c r="H185" s="414"/>
      <c r="I185" s="414"/>
      <c r="J185" s="421"/>
      <c r="K185" s="421"/>
      <c r="L185" s="421"/>
      <c r="M185" s="421"/>
      <c r="N185" s="412"/>
      <c r="O185" s="412"/>
      <c r="P185" s="412"/>
      <c r="Q185" s="412"/>
      <c r="R185" s="412">
        <v>0</v>
      </c>
      <c r="S185" s="412"/>
      <c r="T185" s="412"/>
      <c r="U185" s="412"/>
      <c r="V185" s="412"/>
      <c r="W185" s="412"/>
      <c r="X185" s="412"/>
      <c r="Y185" s="412"/>
      <c r="Z185" s="412"/>
      <c r="AA185" s="412"/>
      <c r="AB185" s="412"/>
      <c r="AC185" s="412"/>
      <c r="AD185" s="412"/>
      <c r="AE185" s="412"/>
      <c r="AF185" s="412"/>
      <c r="AG185" s="412"/>
      <c r="AH185" s="412"/>
      <c r="AI185" s="387">
        <f t="shared" si="101"/>
        <v>97375</v>
      </c>
      <c r="AJ185" s="387">
        <f t="shared" si="102"/>
        <v>97375</v>
      </c>
      <c r="AK185" s="387">
        <f t="shared" si="103"/>
        <v>4352.0150000000003</v>
      </c>
      <c r="AL185" s="387">
        <f t="shared" si="99"/>
        <v>97375</v>
      </c>
      <c r="AM185" s="388">
        <f t="shared" si="100"/>
        <v>0</v>
      </c>
    </row>
    <row r="186" spans="1:39" s="419" customFormat="1" x14ac:dyDescent="0.2">
      <c r="A186" s="391" t="s">
        <v>609</v>
      </c>
      <c r="B186" s="416"/>
      <c r="C186" s="393">
        <v>0</v>
      </c>
      <c r="D186" s="393">
        <v>0</v>
      </c>
      <c r="E186" s="417"/>
      <c r="F186" s="418"/>
      <c r="G186" s="414"/>
      <c r="H186" s="414"/>
      <c r="I186" s="414"/>
      <c r="J186" s="421"/>
      <c r="K186" s="421"/>
      <c r="L186" s="421"/>
      <c r="M186" s="421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2"/>
      <c r="AC186" s="412"/>
      <c r="AD186" s="412"/>
      <c r="AE186" s="412"/>
      <c r="AF186" s="412"/>
      <c r="AG186" s="412"/>
      <c r="AH186" s="412"/>
      <c r="AI186" s="387">
        <f t="shared" si="101"/>
        <v>0</v>
      </c>
      <c r="AJ186" s="387">
        <f t="shared" si="102"/>
        <v>0</v>
      </c>
      <c r="AK186" s="387">
        <f t="shared" si="103"/>
        <v>0</v>
      </c>
      <c r="AL186" s="387">
        <f t="shared" si="99"/>
        <v>0</v>
      </c>
      <c r="AM186" s="388">
        <f t="shared" si="100"/>
        <v>0</v>
      </c>
    </row>
    <row r="187" spans="1:39" s="419" customFormat="1" ht="25.5" hidden="1" x14ac:dyDescent="0.2">
      <c r="A187" s="391" t="s">
        <v>610</v>
      </c>
      <c r="B187" s="416"/>
      <c r="C187" s="393">
        <v>17000</v>
      </c>
      <c r="D187" s="393">
        <v>17000</v>
      </c>
      <c r="E187" s="417"/>
      <c r="F187" s="418"/>
      <c r="G187" s="414"/>
      <c r="H187" s="414"/>
      <c r="I187" s="414"/>
      <c r="J187" s="421"/>
      <c r="K187" s="421"/>
      <c r="L187" s="421"/>
      <c r="M187" s="421"/>
      <c r="N187" s="412"/>
      <c r="O187" s="412"/>
      <c r="P187" s="412"/>
      <c r="Q187" s="412"/>
      <c r="R187" s="412"/>
      <c r="S187" s="412"/>
      <c r="T187" s="412"/>
      <c r="U187" s="412"/>
      <c r="V187" s="412"/>
      <c r="W187" s="412"/>
      <c r="X187" s="412"/>
      <c r="Y187" s="412"/>
      <c r="Z187" s="412"/>
      <c r="AA187" s="412"/>
      <c r="AB187" s="412"/>
      <c r="AC187" s="412"/>
      <c r="AD187" s="412"/>
      <c r="AE187" s="412"/>
      <c r="AF187" s="412"/>
      <c r="AG187" s="412"/>
      <c r="AH187" s="412"/>
      <c r="AI187" s="387">
        <f t="shared" si="101"/>
        <v>17000</v>
      </c>
      <c r="AJ187" s="387">
        <f t="shared" si="102"/>
        <v>17000</v>
      </c>
      <c r="AK187" s="387">
        <f t="shared" si="103"/>
        <v>0</v>
      </c>
      <c r="AL187" s="387">
        <f t="shared" si="99"/>
        <v>0</v>
      </c>
      <c r="AM187" s="388">
        <f t="shared" si="100"/>
        <v>0</v>
      </c>
    </row>
    <row r="188" spans="1:39" s="413" customFormat="1" ht="38.25" hidden="1" x14ac:dyDescent="0.2">
      <c r="A188" s="391" t="s">
        <v>611</v>
      </c>
      <c r="B188" s="411"/>
      <c r="C188" s="393"/>
      <c r="D188" s="393"/>
      <c r="E188" s="393">
        <v>270304.02</v>
      </c>
      <c r="F188" s="418"/>
      <c r="G188" s="414"/>
      <c r="H188" s="414"/>
      <c r="I188" s="414"/>
      <c r="J188" s="421"/>
      <c r="K188" s="421"/>
      <c r="L188" s="421"/>
      <c r="M188" s="421"/>
      <c r="N188" s="412"/>
      <c r="O188" s="412"/>
      <c r="P188" s="412"/>
      <c r="Q188" s="412"/>
      <c r="R188" s="412"/>
      <c r="S188" s="412"/>
      <c r="T188" s="412"/>
      <c r="U188" s="412"/>
      <c r="V188" s="412"/>
      <c r="W188" s="412"/>
      <c r="X188" s="412"/>
      <c r="Y188" s="412"/>
      <c r="Z188" s="412"/>
      <c r="AA188" s="412"/>
      <c r="AB188" s="412"/>
      <c r="AC188" s="412"/>
      <c r="AD188" s="412"/>
      <c r="AE188" s="412"/>
      <c r="AF188" s="412"/>
      <c r="AG188" s="412"/>
      <c r="AH188" s="412"/>
      <c r="AI188" s="387">
        <f t="shared" si="101"/>
        <v>0</v>
      </c>
      <c r="AJ188" s="387">
        <f t="shared" si="102"/>
        <v>0</v>
      </c>
      <c r="AK188" s="387">
        <f t="shared" si="103"/>
        <v>270304.02</v>
      </c>
      <c r="AL188" s="387">
        <f t="shared" si="99"/>
        <v>0</v>
      </c>
      <c r="AM188" s="388">
        <f t="shared" si="100"/>
        <v>0</v>
      </c>
    </row>
    <row r="189" spans="1:39" s="419" customFormat="1" x14ac:dyDescent="0.2">
      <c r="A189" s="391" t="s">
        <v>612</v>
      </c>
      <c r="B189" s="416"/>
      <c r="C189" s="393">
        <v>3000</v>
      </c>
      <c r="D189" s="393">
        <v>3000</v>
      </c>
      <c r="E189" s="393">
        <v>7567.4</v>
      </c>
      <c r="F189" s="418">
        <v>3000</v>
      </c>
      <c r="G189" s="384"/>
      <c r="H189" s="384"/>
      <c r="I189" s="384"/>
      <c r="J189" s="421"/>
      <c r="K189" s="421"/>
      <c r="L189" s="421"/>
      <c r="M189" s="421"/>
      <c r="N189" s="412"/>
      <c r="O189" s="412"/>
      <c r="P189" s="412"/>
      <c r="Q189" s="412"/>
      <c r="R189" s="412"/>
      <c r="S189" s="412"/>
      <c r="T189" s="412"/>
      <c r="U189" s="412"/>
      <c r="V189" s="412"/>
      <c r="W189" s="412"/>
      <c r="X189" s="412"/>
      <c r="Y189" s="412"/>
      <c r="Z189" s="412"/>
      <c r="AA189" s="412"/>
      <c r="AB189" s="412"/>
      <c r="AC189" s="412"/>
      <c r="AD189" s="412"/>
      <c r="AE189" s="412"/>
      <c r="AF189" s="412"/>
      <c r="AG189" s="412"/>
      <c r="AH189" s="412"/>
      <c r="AI189" s="387">
        <f t="shared" si="101"/>
        <v>3000</v>
      </c>
      <c r="AJ189" s="387">
        <f t="shared" si="102"/>
        <v>3000</v>
      </c>
      <c r="AK189" s="387">
        <f t="shared" si="103"/>
        <v>7567.4</v>
      </c>
      <c r="AL189" s="387">
        <f t="shared" si="99"/>
        <v>3000</v>
      </c>
      <c r="AM189" s="388">
        <f t="shared" si="100"/>
        <v>0</v>
      </c>
    </row>
    <row r="190" spans="1:39" s="419" customFormat="1" ht="25.5" hidden="1" x14ac:dyDescent="0.2">
      <c r="A190" s="391" t="s">
        <v>613</v>
      </c>
      <c r="B190" s="416"/>
      <c r="C190" s="417"/>
      <c r="D190" s="417"/>
      <c r="E190" s="417"/>
      <c r="F190" s="383"/>
      <c r="G190" s="384"/>
      <c r="H190" s="384"/>
      <c r="I190" s="384"/>
      <c r="J190" s="421"/>
      <c r="K190" s="421"/>
      <c r="L190" s="421"/>
      <c r="M190" s="421"/>
      <c r="N190" s="412"/>
      <c r="O190" s="412"/>
      <c r="P190" s="412"/>
      <c r="Q190" s="412"/>
      <c r="R190" s="412"/>
      <c r="S190" s="412"/>
      <c r="T190" s="412"/>
      <c r="U190" s="412"/>
      <c r="V190" s="412"/>
      <c r="W190" s="412"/>
      <c r="X190" s="412"/>
      <c r="Y190" s="412"/>
      <c r="Z190" s="412"/>
      <c r="AA190" s="412"/>
      <c r="AB190" s="412"/>
      <c r="AC190" s="412"/>
      <c r="AD190" s="412"/>
      <c r="AE190" s="412"/>
      <c r="AF190" s="412"/>
      <c r="AG190" s="412"/>
      <c r="AH190" s="412"/>
      <c r="AI190" s="387">
        <f t="shared" si="101"/>
        <v>0</v>
      </c>
      <c r="AJ190" s="387">
        <f t="shared" si="102"/>
        <v>0</v>
      </c>
      <c r="AK190" s="387">
        <f t="shared" si="103"/>
        <v>0</v>
      </c>
      <c r="AL190" s="387">
        <f t="shared" si="99"/>
        <v>0</v>
      </c>
      <c r="AM190" s="388">
        <f t="shared" si="100"/>
        <v>0</v>
      </c>
    </row>
    <row r="191" spans="1:39" s="413" customFormat="1" hidden="1" x14ac:dyDescent="0.2">
      <c r="A191" s="391" t="s">
        <v>614</v>
      </c>
      <c r="B191" s="411"/>
      <c r="C191" s="393">
        <v>6000</v>
      </c>
      <c r="D191" s="393">
        <v>6000</v>
      </c>
      <c r="E191" s="393"/>
      <c r="F191" s="383"/>
      <c r="G191" s="384"/>
      <c r="H191" s="384"/>
      <c r="I191" s="384"/>
      <c r="J191" s="396"/>
      <c r="K191" s="396"/>
      <c r="L191" s="396"/>
      <c r="M191" s="396"/>
      <c r="N191" s="396"/>
      <c r="O191" s="396"/>
      <c r="P191" s="396"/>
      <c r="Q191" s="396"/>
      <c r="R191" s="412"/>
      <c r="S191" s="412"/>
      <c r="T191" s="412"/>
      <c r="U191" s="412"/>
      <c r="V191" s="412"/>
      <c r="W191" s="412"/>
      <c r="X191" s="412"/>
      <c r="Y191" s="412"/>
      <c r="Z191" s="412"/>
      <c r="AA191" s="412"/>
      <c r="AB191" s="412"/>
      <c r="AC191" s="412"/>
      <c r="AD191" s="412"/>
      <c r="AE191" s="412"/>
      <c r="AF191" s="412"/>
      <c r="AG191" s="412"/>
      <c r="AH191" s="412"/>
      <c r="AI191" s="387">
        <f t="shared" si="101"/>
        <v>6000</v>
      </c>
      <c r="AJ191" s="387">
        <f t="shared" si="102"/>
        <v>6000</v>
      </c>
      <c r="AK191" s="387">
        <f t="shared" si="103"/>
        <v>0</v>
      </c>
      <c r="AL191" s="387">
        <f t="shared" si="99"/>
        <v>0</v>
      </c>
      <c r="AM191" s="388">
        <f t="shared" si="100"/>
        <v>0</v>
      </c>
    </row>
    <row r="192" spans="1:39" s="472" customFormat="1" x14ac:dyDescent="0.2">
      <c r="A192" s="470" t="s">
        <v>615</v>
      </c>
      <c r="B192" s="471"/>
      <c r="C192" s="471">
        <f>+C193+C194</f>
        <v>1465754</v>
      </c>
      <c r="D192" s="471">
        <f>+D193+D194</f>
        <v>1356246</v>
      </c>
      <c r="E192" s="471">
        <v>0</v>
      </c>
      <c r="F192" s="471">
        <f>+'5 melléklet'!C2</f>
        <v>1465753.7150000001</v>
      </c>
      <c r="G192" s="463"/>
      <c r="H192" s="463"/>
      <c r="I192" s="463"/>
      <c r="J192" s="471">
        <v>0</v>
      </c>
      <c r="K192" s="471"/>
      <c r="L192" s="471"/>
      <c r="M192" s="471"/>
      <c r="N192" s="471">
        <v>0</v>
      </c>
      <c r="O192" s="471"/>
      <c r="P192" s="471"/>
      <c r="Q192" s="471"/>
      <c r="R192" s="471">
        <v>0</v>
      </c>
      <c r="S192" s="471"/>
      <c r="T192" s="471"/>
      <c r="U192" s="471"/>
      <c r="V192" s="471">
        <v>0</v>
      </c>
      <c r="W192" s="471"/>
      <c r="X192" s="471"/>
      <c r="Y192" s="471"/>
      <c r="Z192" s="471">
        <v>0</v>
      </c>
      <c r="AA192" s="471"/>
      <c r="AB192" s="471"/>
      <c r="AC192" s="471"/>
      <c r="AD192" s="471">
        <v>0</v>
      </c>
      <c r="AE192" s="471"/>
      <c r="AF192" s="471"/>
      <c r="AG192" s="471"/>
      <c r="AH192" s="471">
        <v>0</v>
      </c>
      <c r="AI192" s="387">
        <f t="shared" si="101"/>
        <v>1465754</v>
      </c>
      <c r="AJ192" s="387">
        <f t="shared" si="102"/>
        <v>1356246</v>
      </c>
      <c r="AK192" s="387">
        <f t="shared" si="103"/>
        <v>0</v>
      </c>
      <c r="AL192" s="387">
        <f t="shared" si="99"/>
        <v>1465753.7150000001</v>
      </c>
      <c r="AM192" s="388">
        <f t="shared" si="100"/>
        <v>0</v>
      </c>
    </row>
    <row r="193" spans="1:39" s="478" customFormat="1" x14ac:dyDescent="0.2">
      <c r="A193" s="473" t="s">
        <v>616</v>
      </c>
      <c r="B193" s="474"/>
      <c r="C193" s="475">
        <v>140000</v>
      </c>
      <c r="D193" s="475">
        <f>140000-2000-48-13145-50000-2331+22316</f>
        <v>94792</v>
      </c>
      <c r="E193" s="475"/>
      <c r="F193" s="462">
        <f>+'5 melléklet'!C3</f>
        <v>140000</v>
      </c>
      <c r="G193" s="463"/>
      <c r="H193" s="463"/>
      <c r="I193" s="463"/>
      <c r="J193" s="473"/>
      <c r="K193" s="473"/>
      <c r="L193" s="473"/>
      <c r="M193" s="473"/>
      <c r="N193" s="476"/>
      <c r="O193" s="476"/>
      <c r="P193" s="476"/>
      <c r="Q193" s="476"/>
      <c r="R193" s="477"/>
      <c r="S193" s="477"/>
      <c r="T193" s="477"/>
      <c r="U193" s="477"/>
      <c r="V193" s="477"/>
      <c r="W193" s="477"/>
      <c r="X193" s="477"/>
      <c r="Y193" s="477"/>
      <c r="Z193" s="477"/>
      <c r="AA193" s="477"/>
      <c r="AB193" s="477"/>
      <c r="AC193" s="477"/>
      <c r="AD193" s="477"/>
      <c r="AE193" s="477"/>
      <c r="AF193" s="477"/>
      <c r="AG193" s="477"/>
      <c r="AH193" s="477"/>
      <c r="AI193" s="387">
        <f t="shared" si="101"/>
        <v>140000</v>
      </c>
      <c r="AJ193" s="387">
        <f t="shared" si="102"/>
        <v>94792</v>
      </c>
      <c r="AK193" s="387">
        <f t="shared" si="103"/>
        <v>0</v>
      </c>
      <c r="AL193" s="387">
        <f t="shared" si="99"/>
        <v>140000</v>
      </c>
      <c r="AM193" s="388">
        <f t="shared" si="100"/>
        <v>0</v>
      </c>
    </row>
    <row r="194" spans="1:39" s="478" customFormat="1" x14ac:dyDescent="0.2">
      <c r="A194" s="473" t="s">
        <v>617</v>
      </c>
      <c r="B194" s="474"/>
      <c r="C194" s="475">
        <v>1325754</v>
      </c>
      <c r="D194" s="475">
        <f>1325754-100-4000-200-60000</f>
        <v>1261454</v>
      </c>
      <c r="E194" s="475"/>
      <c r="F194" s="462">
        <f>+'5 melléklet'!C4</f>
        <v>1325753.7150000001</v>
      </c>
      <c r="G194" s="463"/>
      <c r="H194" s="463"/>
      <c r="I194" s="463"/>
      <c r="J194" s="473"/>
      <c r="K194" s="473"/>
      <c r="L194" s="473"/>
      <c r="M194" s="473"/>
      <c r="N194" s="477"/>
      <c r="O194" s="477"/>
      <c r="P194" s="477"/>
      <c r="Q194" s="477"/>
      <c r="R194" s="479"/>
      <c r="S194" s="479"/>
      <c r="T194" s="479"/>
      <c r="U194" s="479"/>
      <c r="V194" s="479"/>
      <c r="W194" s="479"/>
      <c r="X194" s="479"/>
      <c r="Y194" s="479"/>
      <c r="Z194" s="479"/>
      <c r="AA194" s="479"/>
      <c r="AB194" s="479"/>
      <c r="AC194" s="479"/>
      <c r="AD194" s="479"/>
      <c r="AE194" s="479"/>
      <c r="AF194" s="479"/>
      <c r="AG194" s="479"/>
      <c r="AH194" s="479"/>
      <c r="AI194" s="387">
        <f t="shared" si="101"/>
        <v>1325754</v>
      </c>
      <c r="AJ194" s="387">
        <f t="shared" si="102"/>
        <v>1261454</v>
      </c>
      <c r="AK194" s="387">
        <f t="shared" si="103"/>
        <v>0</v>
      </c>
      <c r="AL194" s="387">
        <f t="shared" ref="AL194:AL257" si="104">F194+J194+N194+R194+V194+Z194+AD194+AH194</f>
        <v>1325753.7150000001</v>
      </c>
      <c r="AM194" s="388">
        <f t="shared" ref="AM194:AM257" si="105">J194+N194+R194+V194+Z194+AD194+AH194</f>
        <v>0</v>
      </c>
    </row>
    <row r="195" spans="1:39" s="400" customFormat="1" ht="13.5" x14ac:dyDescent="0.25">
      <c r="A195" s="399" t="s">
        <v>1143</v>
      </c>
      <c r="B195" s="400" t="s">
        <v>106</v>
      </c>
      <c r="C195" s="402">
        <f>+C129+C153+C179+C180+C181+C192</f>
        <v>2820914</v>
      </c>
      <c r="D195" s="402">
        <f>+D129+D153+D179+D180+D181+D192</f>
        <v>2773837</v>
      </c>
      <c r="E195" s="402">
        <v>924642.853</v>
      </c>
      <c r="F195" s="402">
        <f>+F129+F153+F179+F181+F192</f>
        <v>2820913.7149999999</v>
      </c>
      <c r="G195" s="402">
        <f t="shared" ref="G195:H195" si="106">+G129+G153+G179+G180+G181+G192</f>
        <v>0</v>
      </c>
      <c r="H195" s="402">
        <f t="shared" si="106"/>
        <v>0</v>
      </c>
      <c r="I195" s="480">
        <v>24009.741999999998</v>
      </c>
      <c r="J195" s="481">
        <v>0</v>
      </c>
      <c r="K195" s="402">
        <f t="shared" ref="K195:L195" si="107">+K129+K153+K179+K180+K181+K192</f>
        <v>0</v>
      </c>
      <c r="L195" s="402">
        <f t="shared" si="107"/>
        <v>0</v>
      </c>
      <c r="M195" s="481"/>
      <c r="N195" s="481">
        <v>0</v>
      </c>
      <c r="O195" s="402">
        <f t="shared" ref="O195:P195" si="108">+O129+O153+O179+O180+O181+O192</f>
        <v>0</v>
      </c>
      <c r="P195" s="402">
        <f t="shared" si="108"/>
        <v>0</v>
      </c>
      <c r="Q195" s="481">
        <v>0</v>
      </c>
      <c r="R195" s="481">
        <v>0</v>
      </c>
      <c r="S195" s="402">
        <f t="shared" ref="S195:T195" si="109">+S129+S153+S179+S180+S181+S192</f>
        <v>0</v>
      </c>
      <c r="T195" s="402">
        <f t="shared" si="109"/>
        <v>0</v>
      </c>
      <c r="U195" s="481"/>
      <c r="V195" s="481">
        <v>0</v>
      </c>
      <c r="W195" s="402">
        <f t="shared" ref="W195:X195" si="110">+W129+W153+W179+W180+W181+W192</f>
        <v>0</v>
      </c>
      <c r="X195" s="402">
        <f t="shared" si="110"/>
        <v>0</v>
      </c>
      <c r="Y195" s="481"/>
      <c r="Z195" s="481">
        <v>0</v>
      </c>
      <c r="AA195" s="402">
        <f t="shared" ref="AA195:AB195" si="111">+AA129+AA153+AA179+AA180+AA181+AA192</f>
        <v>0</v>
      </c>
      <c r="AB195" s="402">
        <f t="shared" si="111"/>
        <v>0</v>
      </c>
      <c r="AC195" s="481"/>
      <c r="AD195" s="481">
        <v>0</v>
      </c>
      <c r="AE195" s="402">
        <f t="shared" ref="AE195:AF195" si="112">+AE129+AE153+AE179+AE180+AE181+AE192</f>
        <v>0</v>
      </c>
      <c r="AF195" s="402">
        <f t="shared" si="112"/>
        <v>0</v>
      </c>
      <c r="AG195" s="481"/>
      <c r="AH195" s="481">
        <v>0</v>
      </c>
      <c r="AI195" s="409">
        <f t="shared" si="101"/>
        <v>2820914</v>
      </c>
      <c r="AJ195" s="409">
        <f t="shared" si="102"/>
        <v>2773837</v>
      </c>
      <c r="AK195" s="409">
        <f t="shared" si="103"/>
        <v>948652.59499999997</v>
      </c>
      <c r="AL195" s="409">
        <f t="shared" si="104"/>
        <v>2820913.7149999999</v>
      </c>
      <c r="AM195" s="388">
        <f t="shared" si="105"/>
        <v>0</v>
      </c>
    </row>
    <row r="196" spans="1:39" s="400" customFormat="1" x14ac:dyDescent="0.25">
      <c r="A196" s="399" t="s">
        <v>618</v>
      </c>
      <c r="B196" s="400" t="s">
        <v>619</v>
      </c>
      <c r="C196" s="407">
        <f>+C195+C123+C59+C23+C22</f>
        <v>5423632</v>
      </c>
      <c r="D196" s="407">
        <f>+D195+D123+D59+D23+D22</f>
        <v>5441748</v>
      </c>
      <c r="E196" s="407">
        <v>2839884.6090000002</v>
      </c>
      <c r="F196" s="407">
        <f>+F195+F123+F59+F23+F22</f>
        <v>5423631.6189999999</v>
      </c>
      <c r="G196" s="407">
        <f>+G195+G123+G59+G23+G22-1</f>
        <v>1439499.8</v>
      </c>
      <c r="H196" s="407">
        <f t="shared" ref="H196" si="113">+H195+H123+H59+H23+H22</f>
        <v>1439500</v>
      </c>
      <c r="I196" s="407">
        <v>1163380.29</v>
      </c>
      <c r="J196" s="448">
        <v>1439500.361</v>
      </c>
      <c r="K196" s="407">
        <f t="shared" ref="K196:L196" si="114">+K195+K123+K59+K23+K22</f>
        <v>1168401</v>
      </c>
      <c r="L196" s="407">
        <f t="shared" si="114"/>
        <v>1168401</v>
      </c>
      <c r="M196" s="448">
        <v>974603.63700000034</v>
      </c>
      <c r="N196" s="448">
        <v>1168401</v>
      </c>
      <c r="O196" s="407">
        <f t="shared" ref="O196:P196" si="115">+O195+O123+O59+O23+O22</f>
        <v>3047680</v>
      </c>
      <c r="P196" s="407">
        <f t="shared" si="115"/>
        <v>3047680</v>
      </c>
      <c r="Q196" s="448">
        <v>2080848.5730000003</v>
      </c>
      <c r="R196" s="448">
        <v>3047680</v>
      </c>
      <c r="S196" s="407">
        <f t="shared" ref="S196:T196" si="116">+S195+S123+S59+S23+S22</f>
        <v>880811</v>
      </c>
      <c r="T196" s="407">
        <f t="shared" si="116"/>
        <v>880811</v>
      </c>
      <c r="U196" s="448">
        <v>831174.97</v>
      </c>
      <c r="V196" s="448">
        <v>880811</v>
      </c>
      <c r="W196" s="407">
        <f t="shared" ref="W196:X196" si="117">+W195+W123+W59+W23+W22</f>
        <v>450937.5</v>
      </c>
      <c r="X196" s="407">
        <f t="shared" si="117"/>
        <v>450938</v>
      </c>
      <c r="Y196" s="448">
        <v>376578.799</v>
      </c>
      <c r="Z196" s="448">
        <v>450937.5</v>
      </c>
      <c r="AA196" s="407">
        <f t="shared" ref="AA196:AB196" si="118">+AA195+AA123+AA59+AA23+AA22</f>
        <v>483057</v>
      </c>
      <c r="AB196" s="407">
        <f t="shared" si="118"/>
        <v>483057</v>
      </c>
      <c r="AC196" s="448">
        <v>422916.10400000005</v>
      </c>
      <c r="AD196" s="448">
        <v>483057</v>
      </c>
      <c r="AE196" s="407">
        <f t="shared" ref="AE196:AF196" si="119">+AE195+AE123+AE59+AE23+AE22</f>
        <v>69768</v>
      </c>
      <c r="AF196" s="407">
        <f t="shared" si="119"/>
        <v>69768</v>
      </c>
      <c r="AG196" s="448">
        <v>47360.94</v>
      </c>
      <c r="AH196" s="448">
        <v>69768</v>
      </c>
      <c r="AI196" s="409">
        <v>12963787</v>
      </c>
      <c r="AJ196" s="409">
        <f t="shared" si="102"/>
        <v>12981903</v>
      </c>
      <c r="AK196" s="409">
        <f t="shared" si="103"/>
        <v>8736747.9220000003</v>
      </c>
      <c r="AL196" s="409">
        <f>F196+J196+N196+R196+V196+Z196+AD196+AH196+1</f>
        <v>12963787.48</v>
      </c>
      <c r="AM196" s="388">
        <f t="shared" si="105"/>
        <v>7540154.8609999996</v>
      </c>
    </row>
    <row r="197" spans="1:39" s="445" customFormat="1" ht="25.5" x14ac:dyDescent="0.2">
      <c r="A197" s="1055" t="s">
        <v>620</v>
      </c>
      <c r="B197" s="482"/>
      <c r="C197" s="483">
        <v>9843</v>
      </c>
      <c r="D197" s="483">
        <v>9843</v>
      </c>
      <c r="E197" s="483">
        <v>20170</v>
      </c>
      <c r="F197" s="440">
        <v>9843</v>
      </c>
      <c r="G197" s="441">
        <v>22205</v>
      </c>
      <c r="H197" s="441">
        <f>22205-1970</f>
        <v>20235</v>
      </c>
      <c r="I197" s="441"/>
      <c r="J197" s="1057">
        <v>22204.724000000002</v>
      </c>
      <c r="K197" s="1057"/>
      <c r="L197" s="1057"/>
      <c r="M197" s="1057">
        <v>279.99</v>
      </c>
      <c r="N197" s="487"/>
      <c r="O197" s="487">
        <v>3823</v>
      </c>
      <c r="P197" s="487">
        <v>3823</v>
      </c>
      <c r="Q197" s="487">
        <v>1138</v>
      </c>
      <c r="R197" s="487">
        <v>3823</v>
      </c>
      <c r="S197" s="487"/>
      <c r="T197" s="487"/>
      <c r="U197" s="487"/>
      <c r="V197" s="487">
        <v>0</v>
      </c>
      <c r="W197" s="487"/>
      <c r="X197" s="487"/>
      <c r="Y197" s="487"/>
      <c r="Z197" s="487">
        <v>0</v>
      </c>
      <c r="AA197" s="487"/>
      <c r="AB197" s="487"/>
      <c r="AC197" s="487"/>
      <c r="AD197" s="487">
        <v>0</v>
      </c>
      <c r="AE197" s="487"/>
      <c r="AF197" s="487"/>
      <c r="AG197" s="487">
        <v>100.693</v>
      </c>
      <c r="AH197" s="487">
        <v>0</v>
      </c>
      <c r="AI197" s="387">
        <f t="shared" si="101"/>
        <v>35871</v>
      </c>
      <c r="AJ197" s="387">
        <f t="shared" si="102"/>
        <v>33901</v>
      </c>
      <c r="AK197" s="387">
        <f t="shared" si="103"/>
        <v>21688.683000000001</v>
      </c>
      <c r="AL197" s="387">
        <f t="shared" si="104"/>
        <v>35870.724000000002</v>
      </c>
      <c r="AM197" s="388">
        <f t="shared" si="105"/>
        <v>26027.724000000002</v>
      </c>
    </row>
    <row r="198" spans="1:39" s="445" customFormat="1" ht="25.5" x14ac:dyDescent="0.2">
      <c r="A198" s="1055" t="s">
        <v>621</v>
      </c>
      <c r="B198" s="482"/>
      <c r="C198" s="483">
        <v>379577</v>
      </c>
      <c r="D198" s="483">
        <v>379577</v>
      </c>
      <c r="E198" s="483">
        <v>553132.848</v>
      </c>
      <c r="F198" s="440">
        <v>379577</v>
      </c>
      <c r="G198" s="441"/>
      <c r="H198" s="441">
        <v>1970</v>
      </c>
      <c r="I198" s="441"/>
      <c r="J198" s="1057">
        <v>0</v>
      </c>
      <c r="K198" s="486"/>
      <c r="L198" s="1054"/>
      <c r="M198" s="486"/>
      <c r="N198" s="486"/>
      <c r="O198" s="487"/>
      <c r="P198" s="487"/>
      <c r="Q198" s="487"/>
      <c r="R198" s="487">
        <v>0</v>
      </c>
      <c r="S198" s="487"/>
      <c r="T198" s="487"/>
      <c r="U198" s="487"/>
      <c r="V198" s="487">
        <v>0</v>
      </c>
      <c r="W198" s="487"/>
      <c r="X198" s="487"/>
      <c r="Y198" s="487"/>
      <c r="Z198" s="487">
        <v>0</v>
      </c>
      <c r="AA198" s="487"/>
      <c r="AB198" s="487"/>
      <c r="AC198" s="487"/>
      <c r="AD198" s="487">
        <v>0</v>
      </c>
      <c r="AE198" s="487"/>
      <c r="AF198" s="487"/>
      <c r="AG198" s="487"/>
      <c r="AH198" s="487">
        <v>0</v>
      </c>
      <c r="AI198" s="387">
        <f t="shared" si="101"/>
        <v>379577</v>
      </c>
      <c r="AJ198" s="387">
        <f t="shared" si="102"/>
        <v>381547</v>
      </c>
      <c r="AK198" s="387">
        <f t="shared" si="103"/>
        <v>553132.848</v>
      </c>
      <c r="AL198" s="387">
        <f t="shared" si="104"/>
        <v>379577</v>
      </c>
      <c r="AM198" s="388">
        <f t="shared" si="105"/>
        <v>0</v>
      </c>
    </row>
    <row r="199" spans="1:39" s="488" customFormat="1" ht="25.5" hidden="1" x14ac:dyDescent="0.25">
      <c r="A199" s="1056" t="s">
        <v>622</v>
      </c>
      <c r="B199" s="482"/>
      <c r="C199" s="483"/>
      <c r="D199" s="483"/>
      <c r="E199" s="483"/>
      <c r="F199" s="484"/>
      <c r="G199" s="485"/>
      <c r="H199" s="485"/>
      <c r="I199" s="485"/>
      <c r="J199" s="486"/>
      <c r="K199" s="486"/>
      <c r="L199" s="486"/>
      <c r="M199" s="486"/>
      <c r="N199" s="486"/>
      <c r="O199" s="486"/>
      <c r="P199" s="486"/>
      <c r="Q199" s="486"/>
      <c r="R199" s="487"/>
      <c r="S199" s="487"/>
      <c r="T199" s="487"/>
      <c r="U199" s="487"/>
      <c r="V199" s="487"/>
      <c r="W199" s="487"/>
      <c r="X199" s="487"/>
      <c r="Y199" s="487"/>
      <c r="Z199" s="487"/>
      <c r="AA199" s="487"/>
      <c r="AB199" s="487"/>
      <c r="AC199" s="487"/>
      <c r="AD199" s="487"/>
      <c r="AE199" s="487"/>
      <c r="AF199" s="487"/>
      <c r="AG199" s="487"/>
      <c r="AH199" s="487"/>
      <c r="AI199" s="387">
        <f t="shared" si="101"/>
        <v>0</v>
      </c>
      <c r="AJ199" s="387">
        <f t="shared" si="102"/>
        <v>0</v>
      </c>
      <c r="AK199" s="387">
        <f t="shared" si="103"/>
        <v>0</v>
      </c>
      <c r="AL199" s="387">
        <f t="shared" si="104"/>
        <v>0</v>
      </c>
      <c r="AM199" s="388">
        <f t="shared" si="105"/>
        <v>0</v>
      </c>
    </row>
    <row r="200" spans="1:39" s="445" customFormat="1" ht="25.5" x14ac:dyDescent="0.2">
      <c r="A200" s="1055" t="s">
        <v>623</v>
      </c>
      <c r="B200" s="482"/>
      <c r="C200" s="483">
        <v>12598</v>
      </c>
      <c r="D200" s="483">
        <f>12598</f>
        <v>12598</v>
      </c>
      <c r="E200" s="483">
        <v>19498.224999999999</v>
      </c>
      <c r="F200" s="440">
        <v>12598</v>
      </c>
      <c r="G200" s="441">
        <v>5000</v>
      </c>
      <c r="H200" s="441">
        <v>5000</v>
      </c>
      <c r="I200" s="441">
        <v>13771.752</v>
      </c>
      <c r="J200" s="1057">
        <v>5000</v>
      </c>
      <c r="K200" s="1054"/>
      <c r="L200" s="1054">
        <v>112</v>
      </c>
      <c r="M200" s="1054">
        <v>5372.9390000000003</v>
      </c>
      <c r="N200" s="487"/>
      <c r="O200" s="487">
        <v>2617</v>
      </c>
      <c r="P200" s="487">
        <f>2617</f>
        <v>2617</v>
      </c>
      <c r="Q200" s="487">
        <v>1579</v>
      </c>
      <c r="R200" s="487">
        <v>2617</v>
      </c>
      <c r="S200" s="487">
        <v>1000</v>
      </c>
      <c r="T200" s="487">
        <v>1000</v>
      </c>
      <c r="U200" s="487">
        <v>1386</v>
      </c>
      <c r="V200" s="487">
        <v>1000</v>
      </c>
      <c r="W200" s="487">
        <v>591</v>
      </c>
      <c r="X200" s="487">
        <v>591</v>
      </c>
      <c r="Y200" s="487">
        <v>1364.9860000000001</v>
      </c>
      <c r="Z200" s="487">
        <v>591</v>
      </c>
      <c r="AA200" s="487">
        <v>1870</v>
      </c>
      <c r="AB200" s="487">
        <v>1870</v>
      </c>
      <c r="AC200" s="487">
        <v>133.5</v>
      </c>
      <c r="AD200" s="487">
        <v>1870</v>
      </c>
      <c r="AE200" s="487"/>
      <c r="AF200" s="487"/>
      <c r="AG200" s="487">
        <v>196.77199999999999</v>
      </c>
      <c r="AH200" s="487">
        <v>0</v>
      </c>
      <c r="AI200" s="387">
        <f t="shared" si="101"/>
        <v>23676</v>
      </c>
      <c r="AJ200" s="387">
        <f t="shared" si="102"/>
        <v>23788</v>
      </c>
      <c r="AK200" s="387">
        <f t="shared" si="103"/>
        <v>43303.173999999992</v>
      </c>
      <c r="AL200" s="387">
        <f t="shared" si="104"/>
        <v>23676</v>
      </c>
      <c r="AM200" s="388">
        <f t="shared" si="105"/>
        <v>11078</v>
      </c>
    </row>
    <row r="201" spans="1:39" s="445" customFormat="1" ht="25.5" x14ac:dyDescent="0.2">
      <c r="A201" s="1055" t="s">
        <v>624</v>
      </c>
      <c r="B201" s="482"/>
      <c r="C201" s="483">
        <v>149975</v>
      </c>
      <c r="D201" s="483">
        <f>149975+4200</f>
        <v>154175</v>
      </c>
      <c r="E201" s="483">
        <v>27372.665000000001</v>
      </c>
      <c r="F201" s="440">
        <v>149975</v>
      </c>
      <c r="G201" s="441">
        <v>20512</v>
      </c>
      <c r="H201" s="441">
        <v>20512</v>
      </c>
      <c r="I201" s="441">
        <v>15273.898999999999</v>
      </c>
      <c r="J201" s="1057">
        <v>20511.811000000002</v>
      </c>
      <c r="K201" s="1054">
        <v>1000</v>
      </c>
      <c r="L201" s="1054">
        <f>1000-112</f>
        <v>888</v>
      </c>
      <c r="M201" s="1054">
        <v>59226.856</v>
      </c>
      <c r="N201" s="487">
        <v>1000</v>
      </c>
      <c r="O201" s="487">
        <v>165225</v>
      </c>
      <c r="P201" s="487">
        <f>165225</f>
        <v>165225</v>
      </c>
      <c r="Q201" s="487">
        <v>29138.834999999999</v>
      </c>
      <c r="R201" s="487">
        <v>165225</v>
      </c>
      <c r="S201" s="487">
        <v>7768</v>
      </c>
      <c r="T201" s="487">
        <v>7768</v>
      </c>
      <c r="U201" s="487">
        <v>7065.2560000000003</v>
      </c>
      <c r="V201" s="487">
        <v>7768</v>
      </c>
      <c r="W201" s="487">
        <v>5647</v>
      </c>
      <c r="X201" s="487">
        <v>5647</v>
      </c>
      <c r="Y201" s="487">
        <v>3650.8020000000001</v>
      </c>
      <c r="Z201" s="487">
        <v>5647</v>
      </c>
      <c r="AA201" s="487">
        <v>2089</v>
      </c>
      <c r="AB201" s="487">
        <v>2089</v>
      </c>
      <c r="AC201" s="487">
        <v>2980.511</v>
      </c>
      <c r="AD201" s="487">
        <v>2089</v>
      </c>
      <c r="AE201" s="487">
        <v>1590</v>
      </c>
      <c r="AF201" s="487">
        <v>1590</v>
      </c>
      <c r="AG201" s="487">
        <v>1280.827</v>
      </c>
      <c r="AH201" s="487">
        <v>1590</v>
      </c>
      <c r="AI201" s="387">
        <f t="shared" si="101"/>
        <v>353806</v>
      </c>
      <c r="AJ201" s="387">
        <f t="shared" si="102"/>
        <v>357894</v>
      </c>
      <c r="AK201" s="387">
        <f t="shared" si="103"/>
        <v>145989.65099999998</v>
      </c>
      <c r="AL201" s="387">
        <f t="shared" si="104"/>
        <v>353805.81099999999</v>
      </c>
      <c r="AM201" s="388">
        <f t="shared" si="105"/>
        <v>203830.81099999999</v>
      </c>
    </row>
    <row r="202" spans="1:39" s="445" customFormat="1" ht="13.5" x14ac:dyDescent="0.2">
      <c r="A202" s="1055" t="s">
        <v>625</v>
      </c>
      <c r="B202" s="482"/>
      <c r="C202" s="483"/>
      <c r="D202" s="483"/>
      <c r="E202" s="483">
        <v>13000</v>
      </c>
      <c r="F202" s="440"/>
      <c r="G202" s="441"/>
      <c r="H202" s="441"/>
      <c r="I202" s="441"/>
      <c r="J202" s="486">
        <v>0</v>
      </c>
      <c r="K202" s="486"/>
      <c r="L202" s="486"/>
      <c r="M202" s="486"/>
      <c r="N202" s="486"/>
      <c r="O202" s="486"/>
      <c r="P202" s="486"/>
      <c r="Q202" s="486"/>
      <c r="R202" s="487">
        <v>0</v>
      </c>
      <c r="S202" s="487"/>
      <c r="T202" s="487"/>
      <c r="U202" s="487"/>
      <c r="V202" s="487">
        <v>0</v>
      </c>
      <c r="W202" s="487"/>
      <c r="X202" s="487"/>
      <c r="Y202" s="487"/>
      <c r="Z202" s="487">
        <v>0</v>
      </c>
      <c r="AA202" s="487"/>
      <c r="AB202" s="487"/>
      <c r="AC202" s="487"/>
      <c r="AD202" s="487">
        <v>0</v>
      </c>
      <c r="AE202" s="487"/>
      <c r="AF202" s="487"/>
      <c r="AG202" s="487"/>
      <c r="AH202" s="487">
        <v>0</v>
      </c>
      <c r="AI202" s="387">
        <f t="shared" si="101"/>
        <v>0</v>
      </c>
      <c r="AJ202" s="387">
        <f t="shared" si="102"/>
        <v>0</v>
      </c>
      <c r="AK202" s="387">
        <f t="shared" si="103"/>
        <v>13000</v>
      </c>
      <c r="AL202" s="387">
        <f t="shared" si="104"/>
        <v>0</v>
      </c>
      <c r="AM202" s="388">
        <f t="shared" si="105"/>
        <v>0</v>
      </c>
    </row>
    <row r="203" spans="1:39" s="445" customFormat="1" ht="25.5" x14ac:dyDescent="0.2">
      <c r="A203" s="1055" t="s">
        <v>626</v>
      </c>
      <c r="B203" s="482"/>
      <c r="C203" s="483"/>
      <c r="D203" s="483"/>
      <c r="E203" s="483"/>
      <c r="F203" s="440"/>
      <c r="G203" s="441"/>
      <c r="H203" s="441"/>
      <c r="I203" s="441"/>
      <c r="J203" s="486">
        <v>0</v>
      </c>
      <c r="K203" s="486"/>
      <c r="L203" s="486"/>
      <c r="M203" s="486"/>
      <c r="N203" s="486"/>
      <c r="O203" s="486"/>
      <c r="P203" s="486"/>
      <c r="Q203" s="486"/>
      <c r="R203" s="487">
        <v>0</v>
      </c>
      <c r="S203" s="487"/>
      <c r="T203" s="487"/>
      <c r="U203" s="487"/>
      <c r="V203" s="487">
        <v>0</v>
      </c>
      <c r="W203" s="487"/>
      <c r="X203" s="487"/>
      <c r="Y203" s="487"/>
      <c r="Z203" s="487">
        <v>0</v>
      </c>
      <c r="AA203" s="487"/>
      <c r="AB203" s="487"/>
      <c r="AC203" s="487"/>
      <c r="AD203" s="487">
        <v>0</v>
      </c>
      <c r="AE203" s="487"/>
      <c r="AF203" s="487"/>
      <c r="AG203" s="487"/>
      <c r="AH203" s="487">
        <v>0</v>
      </c>
      <c r="AI203" s="387">
        <f t="shared" si="101"/>
        <v>0</v>
      </c>
      <c r="AJ203" s="387">
        <f t="shared" si="102"/>
        <v>0</v>
      </c>
      <c r="AK203" s="387">
        <f t="shared" si="103"/>
        <v>0</v>
      </c>
      <c r="AL203" s="387">
        <f t="shared" si="104"/>
        <v>0</v>
      </c>
      <c r="AM203" s="388">
        <f t="shared" si="105"/>
        <v>0</v>
      </c>
    </row>
    <row r="204" spans="1:39" s="445" customFormat="1" ht="38.25" x14ac:dyDescent="0.2">
      <c r="A204" s="1055" t="s">
        <v>627</v>
      </c>
      <c r="B204" s="482"/>
      <c r="C204" s="483">
        <v>149041</v>
      </c>
      <c r="D204" s="483">
        <v>149041</v>
      </c>
      <c r="E204" s="483">
        <v>34146.608</v>
      </c>
      <c r="F204" s="440">
        <v>149041</v>
      </c>
      <c r="G204" s="441">
        <v>12883</v>
      </c>
      <c r="H204" s="441">
        <v>12883</v>
      </c>
      <c r="I204" s="441">
        <v>7793.7259999999997</v>
      </c>
      <c r="J204" s="1054">
        <v>12883.48</v>
      </c>
      <c r="K204" s="1054">
        <v>270</v>
      </c>
      <c r="L204" s="1054">
        <v>270</v>
      </c>
      <c r="M204" s="1054">
        <v>17516.032999999999</v>
      </c>
      <c r="N204" s="487">
        <v>270</v>
      </c>
      <c r="O204" s="487">
        <v>46350</v>
      </c>
      <c r="P204" s="487">
        <v>46350</v>
      </c>
      <c r="Q204" s="487">
        <v>8601.2800000000007</v>
      </c>
      <c r="R204" s="487">
        <v>46350.070000000007</v>
      </c>
      <c r="S204" s="487">
        <v>2366</v>
      </c>
      <c r="T204" s="487">
        <v>2366</v>
      </c>
      <c r="U204" s="487">
        <v>2244.2289999999998</v>
      </c>
      <c r="V204" s="487">
        <v>2366</v>
      </c>
      <c r="W204" s="487">
        <v>1721</v>
      </c>
      <c r="X204" s="487">
        <v>1721</v>
      </c>
      <c r="Y204" s="487">
        <v>1338.711</v>
      </c>
      <c r="Z204" s="487">
        <v>1721</v>
      </c>
      <c r="AA204" s="487">
        <v>1068</v>
      </c>
      <c r="AB204" s="487">
        <v>1068</v>
      </c>
      <c r="AC204" s="487">
        <v>861.41300000000001</v>
      </c>
      <c r="AD204" s="487">
        <v>1068</v>
      </c>
      <c r="AE204" s="487">
        <v>429</v>
      </c>
      <c r="AF204" s="487">
        <v>429</v>
      </c>
      <c r="AG204" s="487">
        <v>426.137</v>
      </c>
      <c r="AH204" s="487">
        <v>429</v>
      </c>
      <c r="AI204" s="387">
        <f t="shared" si="101"/>
        <v>214128</v>
      </c>
      <c r="AJ204" s="387">
        <f t="shared" si="102"/>
        <v>214128</v>
      </c>
      <c r="AK204" s="387">
        <f t="shared" si="103"/>
        <v>72928.137000000002</v>
      </c>
      <c r="AL204" s="387">
        <f t="shared" si="104"/>
        <v>214128.55000000002</v>
      </c>
      <c r="AM204" s="388">
        <f t="shared" si="105"/>
        <v>65087.55</v>
      </c>
    </row>
    <row r="205" spans="1:39" s="400" customFormat="1" ht="24" customHeight="1" x14ac:dyDescent="0.25">
      <c r="A205" s="399" t="s">
        <v>1144</v>
      </c>
      <c r="B205" s="400" t="s">
        <v>109</v>
      </c>
      <c r="C205" s="407">
        <f>+C204+C203+C202+C201+C200+C198+C197</f>
        <v>701034</v>
      </c>
      <c r="D205" s="407">
        <f>+D204+D203+D202+D201+D200+D198+D197</f>
        <v>705234</v>
      </c>
      <c r="E205" s="407">
        <v>667320.34600000002</v>
      </c>
      <c r="F205" s="407">
        <f>+F197+F198+F200+F201+F204</f>
        <v>701034</v>
      </c>
      <c r="G205" s="407">
        <f t="shared" ref="G205:H205" si="120">+G204+G203+G202+G201+G200+G198+G197</f>
        <v>60600</v>
      </c>
      <c r="H205" s="407">
        <f t="shared" si="120"/>
        <v>60600</v>
      </c>
      <c r="I205" s="407">
        <v>36839.377</v>
      </c>
      <c r="J205" s="448">
        <v>60600.014999999999</v>
      </c>
      <c r="K205" s="407">
        <f t="shared" ref="K205:L205" si="121">+K204+K203+K202+K201+K200+K198+K197</f>
        <v>1270</v>
      </c>
      <c r="L205" s="407">
        <f t="shared" si="121"/>
        <v>1270</v>
      </c>
      <c r="M205" s="448">
        <v>82395.817999999999</v>
      </c>
      <c r="N205" s="448">
        <v>1270</v>
      </c>
      <c r="O205" s="407">
        <f t="shared" ref="O205:P205" si="122">+O204+O203+O202+O201+O200+O198+O197</f>
        <v>218015</v>
      </c>
      <c r="P205" s="407">
        <f t="shared" si="122"/>
        <v>218015</v>
      </c>
      <c r="Q205" s="448">
        <v>40457.114999999998</v>
      </c>
      <c r="R205" s="448">
        <v>218015.07</v>
      </c>
      <c r="S205" s="407">
        <f t="shared" ref="S205:T205" si="123">+S204+S203+S202+S201+S200+S198+S197</f>
        <v>11134</v>
      </c>
      <c r="T205" s="407">
        <f t="shared" si="123"/>
        <v>11134</v>
      </c>
      <c r="U205" s="448">
        <v>10695.485000000001</v>
      </c>
      <c r="V205" s="448">
        <v>11134</v>
      </c>
      <c r="W205" s="407">
        <f t="shared" ref="W205:X205" si="124">+W204+W203+W202+W201+W200+W198+W197</f>
        <v>7959</v>
      </c>
      <c r="X205" s="407">
        <f t="shared" si="124"/>
        <v>7959</v>
      </c>
      <c r="Y205" s="448">
        <v>6354.4989999999998</v>
      </c>
      <c r="Z205" s="448">
        <v>7959</v>
      </c>
      <c r="AA205" s="407">
        <f t="shared" ref="AA205:AB205" si="125">+AA204+AA203+AA202+AA201+AA200+AA198+AA197</f>
        <v>5027</v>
      </c>
      <c r="AB205" s="407">
        <f t="shared" si="125"/>
        <v>5027</v>
      </c>
      <c r="AC205" s="448">
        <v>3975.424</v>
      </c>
      <c r="AD205" s="448">
        <v>5027</v>
      </c>
      <c r="AE205" s="407">
        <f t="shared" ref="AE205:AF205" si="126">+AE204+AE203+AE202+AE201+AE200+AE198+AE197</f>
        <v>2019</v>
      </c>
      <c r="AF205" s="407">
        <f t="shared" si="126"/>
        <v>2019</v>
      </c>
      <c r="AG205" s="448">
        <v>2004.4289999999999</v>
      </c>
      <c r="AH205" s="448">
        <v>2019</v>
      </c>
      <c r="AI205" s="409">
        <f t="shared" si="101"/>
        <v>1007058</v>
      </c>
      <c r="AJ205" s="409">
        <f t="shared" si="102"/>
        <v>1011258</v>
      </c>
      <c r="AK205" s="409">
        <f t="shared" si="103"/>
        <v>850042.4929999999</v>
      </c>
      <c r="AL205" s="409">
        <f t="shared" si="104"/>
        <v>1007058.085</v>
      </c>
      <c r="AM205" s="388">
        <f t="shared" si="105"/>
        <v>306024.08500000002</v>
      </c>
    </row>
    <row r="206" spans="1:39" s="445" customFormat="1" ht="21" customHeight="1" x14ac:dyDescent="0.2">
      <c r="A206" s="1055" t="s">
        <v>628</v>
      </c>
      <c r="B206" s="431"/>
      <c r="C206" s="483">
        <v>464882</v>
      </c>
      <c r="D206" s="483">
        <v>464882</v>
      </c>
      <c r="E206" s="483">
        <v>41015.839</v>
      </c>
      <c r="F206" s="440">
        <v>464882</v>
      </c>
      <c r="G206" s="441">
        <v>10000</v>
      </c>
      <c r="H206" s="441">
        <v>10000</v>
      </c>
      <c r="I206" s="441">
        <v>27084.256000000001</v>
      </c>
      <c r="J206" s="1054">
        <v>10000</v>
      </c>
      <c r="K206" s="1054"/>
      <c r="L206" s="1054"/>
      <c r="M206" s="1054">
        <v>355473.86700000003</v>
      </c>
      <c r="N206" s="487"/>
      <c r="O206" s="487">
        <v>425768</v>
      </c>
      <c r="P206" s="487">
        <v>425768</v>
      </c>
      <c r="Q206" s="487">
        <v>129506</v>
      </c>
      <c r="R206" s="487">
        <v>425768</v>
      </c>
      <c r="S206" s="487">
        <v>19294</v>
      </c>
      <c r="T206" s="487">
        <v>19294</v>
      </c>
      <c r="U206" s="487">
        <v>11363.55</v>
      </c>
      <c r="V206" s="487">
        <v>19294</v>
      </c>
      <c r="W206" s="487">
        <v>37638</v>
      </c>
      <c r="X206" s="487">
        <v>37638</v>
      </c>
      <c r="Y206" s="487">
        <v>6374.1850000000004</v>
      </c>
      <c r="Z206" s="487">
        <v>37638</v>
      </c>
      <c r="AA206" s="487">
        <v>5969</v>
      </c>
      <c r="AB206" s="487">
        <v>5969</v>
      </c>
      <c r="AC206" s="487">
        <v>3995.0929999999998</v>
      </c>
      <c r="AD206" s="487">
        <v>5969</v>
      </c>
      <c r="AE206" s="487">
        <v>18321</v>
      </c>
      <c r="AF206" s="487">
        <v>18321</v>
      </c>
      <c r="AG206" s="487">
        <v>2047.1590000000001</v>
      </c>
      <c r="AH206" s="487">
        <v>18321</v>
      </c>
      <c r="AI206" s="387">
        <f t="shared" si="101"/>
        <v>981872</v>
      </c>
      <c r="AJ206" s="387">
        <f t="shared" si="102"/>
        <v>981872</v>
      </c>
      <c r="AK206" s="387">
        <f t="shared" si="103"/>
        <v>576859.94900000014</v>
      </c>
      <c r="AL206" s="387">
        <f t="shared" si="104"/>
        <v>981872</v>
      </c>
      <c r="AM206" s="388">
        <f t="shared" si="105"/>
        <v>516990</v>
      </c>
    </row>
    <row r="207" spans="1:39" s="445" customFormat="1" ht="28.5" customHeight="1" x14ac:dyDescent="0.2">
      <c r="A207" s="1055" t="s">
        <v>629</v>
      </c>
      <c r="B207" s="431"/>
      <c r="C207" s="483"/>
      <c r="D207" s="483"/>
      <c r="E207" s="483"/>
      <c r="F207" s="440">
        <v>0</v>
      </c>
      <c r="G207" s="441">
        <v>10000</v>
      </c>
      <c r="H207" s="441">
        <v>10000</v>
      </c>
      <c r="I207" s="441"/>
      <c r="J207" s="1054">
        <v>10000</v>
      </c>
      <c r="K207" s="486"/>
      <c r="L207" s="486"/>
      <c r="M207" s="486"/>
      <c r="N207" s="486"/>
      <c r="O207" s="486"/>
      <c r="P207" s="486"/>
      <c r="Q207" s="486"/>
      <c r="R207" s="487">
        <v>0</v>
      </c>
      <c r="S207" s="487"/>
      <c r="T207" s="487"/>
      <c r="U207" s="487"/>
      <c r="V207" s="487">
        <v>0</v>
      </c>
      <c r="W207" s="487"/>
      <c r="X207" s="487"/>
      <c r="Y207" s="487"/>
      <c r="Z207" s="487">
        <v>0</v>
      </c>
      <c r="AA207" s="487"/>
      <c r="AB207" s="487"/>
      <c r="AC207" s="487"/>
      <c r="AD207" s="487">
        <v>0</v>
      </c>
      <c r="AE207" s="487"/>
      <c r="AF207" s="487"/>
      <c r="AG207" s="487"/>
      <c r="AH207" s="487">
        <v>0</v>
      </c>
      <c r="AI207" s="387">
        <f t="shared" si="101"/>
        <v>10000</v>
      </c>
      <c r="AJ207" s="387">
        <f t="shared" si="102"/>
        <v>10000</v>
      </c>
      <c r="AK207" s="387">
        <f t="shared" si="103"/>
        <v>0</v>
      </c>
      <c r="AL207" s="387">
        <f t="shared" si="104"/>
        <v>10000</v>
      </c>
      <c r="AM207" s="388">
        <f t="shared" si="105"/>
        <v>10000</v>
      </c>
    </row>
    <row r="208" spans="1:39" s="445" customFormat="1" ht="25.5" x14ac:dyDescent="0.2">
      <c r="A208" s="1055" t="s">
        <v>630</v>
      </c>
      <c r="B208" s="431"/>
      <c r="C208" s="483"/>
      <c r="D208" s="483"/>
      <c r="E208" s="483"/>
      <c r="F208" s="440">
        <v>0</v>
      </c>
      <c r="G208" s="441">
        <v>5000</v>
      </c>
      <c r="H208" s="441">
        <v>5000</v>
      </c>
      <c r="I208" s="441"/>
      <c r="J208" s="1054">
        <v>5000</v>
      </c>
      <c r="K208" s="486"/>
      <c r="L208" s="1054"/>
      <c r="M208" s="486"/>
      <c r="N208" s="486"/>
      <c r="O208" s="486"/>
      <c r="P208" s="486"/>
      <c r="Q208" s="486"/>
      <c r="R208" s="487">
        <v>0</v>
      </c>
      <c r="S208" s="487"/>
      <c r="T208" s="487"/>
      <c r="U208" s="487"/>
      <c r="V208" s="487">
        <v>0</v>
      </c>
      <c r="W208" s="487"/>
      <c r="X208" s="487"/>
      <c r="Y208" s="487"/>
      <c r="Z208" s="487">
        <v>0</v>
      </c>
      <c r="AA208" s="487"/>
      <c r="AB208" s="487"/>
      <c r="AC208" s="487"/>
      <c r="AD208" s="487">
        <v>0</v>
      </c>
      <c r="AE208" s="487"/>
      <c r="AF208" s="487"/>
      <c r="AG208" s="487"/>
      <c r="AH208" s="487">
        <v>0</v>
      </c>
      <c r="AI208" s="387">
        <f t="shared" si="101"/>
        <v>5000</v>
      </c>
      <c r="AJ208" s="387">
        <f t="shared" si="102"/>
        <v>5000</v>
      </c>
      <c r="AK208" s="387">
        <f t="shared" si="103"/>
        <v>0</v>
      </c>
      <c r="AL208" s="387">
        <f t="shared" si="104"/>
        <v>5000</v>
      </c>
      <c r="AM208" s="388">
        <f t="shared" si="105"/>
        <v>5000</v>
      </c>
    </row>
    <row r="209" spans="1:39" s="445" customFormat="1" ht="45.75" customHeight="1" x14ac:dyDescent="0.2">
      <c r="A209" s="1055" t="s">
        <v>631</v>
      </c>
      <c r="B209" s="431"/>
      <c r="C209" s="483">
        <v>125520</v>
      </c>
      <c r="D209" s="483">
        <v>125520</v>
      </c>
      <c r="E209" s="483"/>
      <c r="F209" s="440">
        <v>125520</v>
      </c>
      <c r="G209" s="441">
        <v>6750</v>
      </c>
      <c r="H209" s="441">
        <v>6750</v>
      </c>
      <c r="I209" s="441">
        <v>7312.7489999999998</v>
      </c>
      <c r="J209" s="1054">
        <v>6750</v>
      </c>
      <c r="K209" s="1054"/>
      <c r="L209" s="1054"/>
      <c r="M209" s="1054">
        <v>95746.445999999996</v>
      </c>
      <c r="N209" s="487"/>
      <c r="O209" s="487">
        <v>114957</v>
      </c>
      <c r="P209" s="487">
        <v>114957</v>
      </c>
      <c r="Q209" s="487">
        <v>34967</v>
      </c>
      <c r="R209" s="487">
        <v>114956.95</v>
      </c>
      <c r="S209" s="487">
        <v>5206</v>
      </c>
      <c r="T209" s="487">
        <v>5206</v>
      </c>
      <c r="U209" s="487">
        <v>3068</v>
      </c>
      <c r="V209" s="487">
        <v>5206</v>
      </c>
      <c r="W209" s="487">
        <v>10162</v>
      </c>
      <c r="X209" s="487">
        <v>10162</v>
      </c>
      <c r="Y209" s="487">
        <v>1721.03</v>
      </c>
      <c r="Z209" s="487">
        <v>10162</v>
      </c>
      <c r="AA209" s="487">
        <v>1611</v>
      </c>
      <c r="AB209" s="487">
        <v>1611</v>
      </c>
      <c r="AC209" s="487">
        <v>1078.6759999999999</v>
      </c>
      <c r="AD209" s="487">
        <v>1611</v>
      </c>
      <c r="AE209" s="487">
        <v>4947</v>
      </c>
      <c r="AF209" s="487">
        <v>4947</v>
      </c>
      <c r="AG209" s="487">
        <v>552.73299999999995</v>
      </c>
      <c r="AH209" s="487">
        <v>4947</v>
      </c>
      <c r="AI209" s="387">
        <f t="shared" si="101"/>
        <v>269153</v>
      </c>
      <c r="AJ209" s="387">
        <f t="shared" si="102"/>
        <v>269153</v>
      </c>
      <c r="AK209" s="387">
        <f t="shared" si="103"/>
        <v>144446.63400000002</v>
      </c>
      <c r="AL209" s="387">
        <f t="shared" si="104"/>
        <v>269152.95</v>
      </c>
      <c r="AM209" s="388">
        <f t="shared" si="105"/>
        <v>143632.95000000001</v>
      </c>
    </row>
    <row r="210" spans="1:39" s="400" customFormat="1" ht="21.75" customHeight="1" x14ac:dyDescent="0.25">
      <c r="A210" s="399" t="s">
        <v>1145</v>
      </c>
      <c r="B210" s="400" t="s">
        <v>111</v>
      </c>
      <c r="C210" s="407">
        <f>+C206+C207+C208+C209</f>
        <v>590402</v>
      </c>
      <c r="D210" s="407">
        <f>+D206+D207+D208+D209</f>
        <v>590402</v>
      </c>
      <c r="E210" s="407">
        <v>41015.839</v>
      </c>
      <c r="F210" s="407">
        <f>+F206+F209</f>
        <v>590402</v>
      </c>
      <c r="G210" s="407">
        <f t="shared" ref="G210:H210" si="127">+G206+G207+G208+G209</f>
        <v>31750</v>
      </c>
      <c r="H210" s="407">
        <f t="shared" si="127"/>
        <v>31750</v>
      </c>
      <c r="I210" s="407">
        <v>34397.005000000005</v>
      </c>
      <c r="J210" s="448">
        <v>31750</v>
      </c>
      <c r="K210" s="407">
        <f t="shared" ref="K210:L210" si="128">+K206+K207+K208+K209</f>
        <v>0</v>
      </c>
      <c r="L210" s="407">
        <f t="shared" si="128"/>
        <v>0</v>
      </c>
      <c r="M210" s="448">
        <v>451220.31300000002</v>
      </c>
      <c r="N210" s="448">
        <v>0</v>
      </c>
      <c r="O210" s="407">
        <f t="shared" ref="O210:P210" si="129">+O206+O207+O208+O209</f>
        <v>540725</v>
      </c>
      <c r="P210" s="407">
        <f t="shared" si="129"/>
        <v>540725</v>
      </c>
      <c r="Q210" s="448">
        <v>164473</v>
      </c>
      <c r="R210" s="448">
        <v>540724.94999999995</v>
      </c>
      <c r="S210" s="407">
        <f t="shared" ref="S210:T210" si="130">+S206+S207+S208+S209</f>
        <v>24500</v>
      </c>
      <c r="T210" s="407">
        <f t="shared" si="130"/>
        <v>24500</v>
      </c>
      <c r="U210" s="448">
        <v>14431.55</v>
      </c>
      <c r="V210" s="448">
        <v>24500</v>
      </c>
      <c r="W210" s="407">
        <f t="shared" ref="W210:X210" si="131">+W206+W207+W208+W209</f>
        <v>47800</v>
      </c>
      <c r="X210" s="407">
        <f t="shared" si="131"/>
        <v>47800</v>
      </c>
      <c r="Y210" s="448">
        <v>8095.2150000000001</v>
      </c>
      <c r="Z210" s="448">
        <v>47800</v>
      </c>
      <c r="AA210" s="407">
        <f t="shared" ref="AA210:AB210" si="132">+AA206+AA207+AA208+AA209</f>
        <v>7580</v>
      </c>
      <c r="AB210" s="407">
        <f t="shared" si="132"/>
        <v>7580</v>
      </c>
      <c r="AC210" s="448">
        <v>5073.7690000000002</v>
      </c>
      <c r="AD210" s="448">
        <v>7580</v>
      </c>
      <c r="AE210" s="407">
        <f t="shared" ref="AE210:AF210" si="133">+AE206+AE207+AE208+AE209</f>
        <v>23268</v>
      </c>
      <c r="AF210" s="407">
        <f t="shared" si="133"/>
        <v>23268</v>
      </c>
      <c r="AG210" s="448">
        <v>2599.8919999999998</v>
      </c>
      <c r="AH210" s="448">
        <v>23268</v>
      </c>
      <c r="AI210" s="409">
        <f t="shared" si="101"/>
        <v>1266025</v>
      </c>
      <c r="AJ210" s="409">
        <f t="shared" si="102"/>
        <v>1266025</v>
      </c>
      <c r="AK210" s="409">
        <f t="shared" si="103"/>
        <v>721306.58299999998</v>
      </c>
      <c r="AL210" s="409">
        <f t="shared" si="104"/>
        <v>1266024.95</v>
      </c>
      <c r="AM210" s="388">
        <f t="shared" si="105"/>
        <v>675622.95</v>
      </c>
    </row>
    <row r="211" spans="1:39" s="437" customFormat="1" ht="51" hidden="1" x14ac:dyDescent="0.25">
      <c r="A211" s="430" t="s">
        <v>632</v>
      </c>
      <c r="B211" s="431"/>
      <c r="C211" s="432"/>
      <c r="D211" s="432"/>
      <c r="E211" s="432"/>
      <c r="F211" s="433">
        <v>0</v>
      </c>
      <c r="G211" s="433">
        <v>0</v>
      </c>
      <c r="H211" s="433">
        <v>0</v>
      </c>
      <c r="I211" s="433">
        <v>0</v>
      </c>
      <c r="J211" s="442"/>
      <c r="K211" s="442"/>
      <c r="L211" s="442"/>
      <c r="M211" s="442"/>
      <c r="N211" s="435"/>
      <c r="O211" s="435"/>
      <c r="P211" s="435"/>
      <c r="Q211" s="435"/>
      <c r="R211" s="443"/>
      <c r="S211" s="443"/>
      <c r="T211" s="443"/>
      <c r="U211" s="443"/>
      <c r="V211" s="443"/>
      <c r="W211" s="443"/>
      <c r="X211" s="443"/>
      <c r="Y211" s="443"/>
      <c r="Z211" s="443"/>
      <c r="AA211" s="443"/>
      <c r="AB211" s="443"/>
      <c r="AC211" s="443"/>
      <c r="AD211" s="443"/>
      <c r="AE211" s="443"/>
      <c r="AF211" s="443"/>
      <c r="AG211" s="443"/>
      <c r="AH211" s="443"/>
      <c r="AI211" s="387">
        <f t="shared" si="101"/>
        <v>0</v>
      </c>
      <c r="AJ211" s="387">
        <f t="shared" si="102"/>
        <v>0</v>
      </c>
      <c r="AK211" s="387">
        <f t="shared" si="103"/>
        <v>0</v>
      </c>
      <c r="AL211" s="387">
        <f t="shared" si="104"/>
        <v>0</v>
      </c>
      <c r="AM211" s="388">
        <f t="shared" si="105"/>
        <v>0</v>
      </c>
    </row>
    <row r="212" spans="1:39" s="400" customFormat="1" ht="51" hidden="1" x14ac:dyDescent="0.25">
      <c r="A212" s="1055" t="s">
        <v>633</v>
      </c>
      <c r="B212" s="431"/>
      <c r="C212" s="432"/>
      <c r="D212" s="432"/>
      <c r="E212" s="432"/>
      <c r="F212" s="440">
        <v>0</v>
      </c>
      <c r="G212" s="440">
        <v>0</v>
      </c>
      <c r="H212" s="440">
        <v>0</v>
      </c>
      <c r="I212" s="440">
        <v>0</v>
      </c>
      <c r="J212" s="1058">
        <v>0</v>
      </c>
      <c r="K212" s="1058"/>
      <c r="L212" s="1058"/>
      <c r="M212" s="1058"/>
      <c r="N212" s="1058">
        <v>0</v>
      </c>
      <c r="O212" s="1058"/>
      <c r="P212" s="1058"/>
      <c r="Q212" s="1058"/>
      <c r="R212" s="1058">
        <v>0</v>
      </c>
      <c r="S212" s="1058"/>
      <c r="T212" s="1058"/>
      <c r="U212" s="1058"/>
      <c r="V212" s="1058">
        <v>0</v>
      </c>
      <c r="W212" s="1058"/>
      <c r="X212" s="1058"/>
      <c r="Y212" s="1058"/>
      <c r="Z212" s="1058">
        <v>0</v>
      </c>
      <c r="AA212" s="1058"/>
      <c r="AB212" s="1058"/>
      <c r="AC212" s="1058"/>
      <c r="AD212" s="1058">
        <v>0</v>
      </c>
      <c r="AE212" s="1058"/>
      <c r="AF212" s="1058"/>
      <c r="AG212" s="1058"/>
      <c r="AH212" s="1058">
        <v>0</v>
      </c>
      <c r="AI212" s="387">
        <f t="shared" si="101"/>
        <v>0</v>
      </c>
      <c r="AJ212" s="387">
        <f t="shared" si="102"/>
        <v>0</v>
      </c>
      <c r="AK212" s="387">
        <f t="shared" si="103"/>
        <v>0</v>
      </c>
      <c r="AL212" s="387">
        <f t="shared" si="104"/>
        <v>0</v>
      </c>
      <c r="AM212" s="388">
        <f t="shared" si="105"/>
        <v>0</v>
      </c>
    </row>
    <row r="213" spans="1:39" s="419" customFormat="1" ht="25.5" hidden="1" customHeight="1" x14ac:dyDescent="0.2">
      <c r="A213" s="391" t="s">
        <v>634</v>
      </c>
      <c r="B213" s="416"/>
      <c r="C213" s="417"/>
      <c r="D213" s="417"/>
      <c r="E213" s="417"/>
      <c r="F213" s="394"/>
      <c r="G213" s="394"/>
      <c r="H213" s="394"/>
      <c r="I213" s="394"/>
      <c r="J213" s="421"/>
      <c r="K213" s="421"/>
      <c r="L213" s="421"/>
      <c r="M213" s="421"/>
      <c r="N213" s="412"/>
      <c r="O213" s="412"/>
      <c r="P213" s="412"/>
      <c r="Q213" s="412"/>
      <c r="R213" s="412"/>
      <c r="S213" s="412"/>
      <c r="T213" s="412"/>
      <c r="U213" s="412"/>
      <c r="V213" s="412"/>
      <c r="W213" s="412"/>
      <c r="X213" s="412"/>
      <c r="Y213" s="412"/>
      <c r="Z213" s="412"/>
      <c r="AA213" s="412"/>
      <c r="AB213" s="412"/>
      <c r="AC213" s="412"/>
      <c r="AD213" s="412"/>
      <c r="AE213" s="412"/>
      <c r="AF213" s="412"/>
      <c r="AG213" s="412"/>
      <c r="AH213" s="412"/>
      <c r="AI213" s="387">
        <f t="shared" si="101"/>
        <v>0</v>
      </c>
      <c r="AJ213" s="387">
        <f t="shared" si="102"/>
        <v>0</v>
      </c>
      <c r="AK213" s="387">
        <f t="shared" si="103"/>
        <v>0</v>
      </c>
      <c r="AL213" s="387">
        <f t="shared" si="104"/>
        <v>0</v>
      </c>
      <c r="AM213" s="388">
        <f t="shared" si="105"/>
        <v>0</v>
      </c>
    </row>
    <row r="214" spans="1:39" s="419" customFormat="1" ht="25.5" hidden="1" x14ac:dyDescent="0.2">
      <c r="A214" s="391" t="s">
        <v>635</v>
      </c>
      <c r="B214" s="416"/>
      <c r="C214" s="417"/>
      <c r="D214" s="417"/>
      <c r="E214" s="417"/>
      <c r="F214" s="418"/>
      <c r="G214" s="418"/>
      <c r="H214" s="418"/>
      <c r="I214" s="418"/>
      <c r="J214" s="421"/>
      <c r="K214" s="421"/>
      <c r="L214" s="421"/>
      <c r="M214" s="421"/>
      <c r="N214" s="412"/>
      <c r="O214" s="412"/>
      <c r="P214" s="412"/>
      <c r="Q214" s="412"/>
      <c r="R214" s="412"/>
      <c r="S214" s="412"/>
      <c r="T214" s="412"/>
      <c r="U214" s="412"/>
      <c r="V214" s="412"/>
      <c r="W214" s="412"/>
      <c r="X214" s="412"/>
      <c r="Y214" s="412"/>
      <c r="Z214" s="412"/>
      <c r="AA214" s="412"/>
      <c r="AB214" s="412"/>
      <c r="AC214" s="412"/>
      <c r="AD214" s="412"/>
      <c r="AE214" s="412"/>
      <c r="AF214" s="412"/>
      <c r="AG214" s="412"/>
      <c r="AH214" s="412"/>
      <c r="AI214" s="387">
        <f t="shared" si="101"/>
        <v>0</v>
      </c>
      <c r="AJ214" s="387">
        <f t="shared" si="102"/>
        <v>0</v>
      </c>
      <c r="AK214" s="387">
        <f t="shared" si="103"/>
        <v>0</v>
      </c>
      <c r="AL214" s="387">
        <f t="shared" si="104"/>
        <v>0</v>
      </c>
      <c r="AM214" s="388">
        <f t="shared" si="105"/>
        <v>0</v>
      </c>
    </row>
    <row r="215" spans="1:39" s="419" customFormat="1" ht="38.25" hidden="1" x14ac:dyDescent="0.2">
      <c r="A215" s="391" t="s">
        <v>636</v>
      </c>
      <c r="B215" s="416"/>
      <c r="C215" s="417"/>
      <c r="D215" s="417"/>
      <c r="E215" s="417"/>
      <c r="F215" s="394"/>
      <c r="G215" s="394"/>
      <c r="H215" s="394"/>
      <c r="I215" s="394"/>
      <c r="J215" s="421"/>
      <c r="K215" s="421"/>
      <c r="L215" s="421"/>
      <c r="M215" s="421"/>
      <c r="N215" s="412"/>
      <c r="O215" s="412"/>
      <c r="P215" s="412"/>
      <c r="Q215" s="412"/>
      <c r="R215" s="412"/>
      <c r="S215" s="412"/>
      <c r="T215" s="412"/>
      <c r="U215" s="412"/>
      <c r="V215" s="412"/>
      <c r="W215" s="412"/>
      <c r="X215" s="412"/>
      <c r="Y215" s="412"/>
      <c r="Z215" s="412"/>
      <c r="AA215" s="412"/>
      <c r="AB215" s="412"/>
      <c r="AC215" s="412"/>
      <c r="AD215" s="412"/>
      <c r="AE215" s="412"/>
      <c r="AF215" s="412"/>
      <c r="AG215" s="412"/>
      <c r="AH215" s="412"/>
      <c r="AI215" s="387">
        <f t="shared" ref="AI215:AI278" si="134">C215+G215+K215+O215+S215+W215+AA215+AE215</f>
        <v>0</v>
      </c>
      <c r="AJ215" s="387">
        <f t="shared" ref="AJ215:AJ278" si="135">D215+H215+L215+P215+T215+X215+AB215+AF215</f>
        <v>0</v>
      </c>
      <c r="AK215" s="387">
        <f t="shared" ref="AK215:AK278" si="136">E215+I215+M215+Q215+U215+Y215+AC215+AG215</f>
        <v>0</v>
      </c>
      <c r="AL215" s="387">
        <f t="shared" si="104"/>
        <v>0</v>
      </c>
      <c r="AM215" s="388">
        <f t="shared" si="105"/>
        <v>0</v>
      </c>
    </row>
    <row r="216" spans="1:39" s="419" customFormat="1" ht="25.5" hidden="1" x14ac:dyDescent="0.2">
      <c r="A216" s="391" t="s">
        <v>637</v>
      </c>
      <c r="B216" s="416"/>
      <c r="C216" s="417"/>
      <c r="D216" s="417"/>
      <c r="E216" s="417"/>
      <c r="F216" s="418"/>
      <c r="G216" s="418"/>
      <c r="H216" s="418"/>
      <c r="I216" s="418"/>
      <c r="J216" s="421"/>
      <c r="K216" s="421"/>
      <c r="L216" s="421"/>
      <c r="M216" s="421"/>
      <c r="N216" s="412"/>
      <c r="O216" s="412"/>
      <c r="P216" s="412"/>
      <c r="Q216" s="412"/>
      <c r="R216" s="412"/>
      <c r="S216" s="412"/>
      <c r="T216" s="412"/>
      <c r="U216" s="412"/>
      <c r="V216" s="412"/>
      <c r="W216" s="412"/>
      <c r="X216" s="412"/>
      <c r="Y216" s="412"/>
      <c r="Z216" s="412"/>
      <c r="AA216" s="412"/>
      <c r="AB216" s="412"/>
      <c r="AC216" s="412"/>
      <c r="AD216" s="412"/>
      <c r="AE216" s="412"/>
      <c r="AF216" s="412"/>
      <c r="AG216" s="412"/>
      <c r="AH216" s="412"/>
      <c r="AI216" s="387">
        <f t="shared" si="134"/>
        <v>0</v>
      </c>
      <c r="AJ216" s="387">
        <f t="shared" si="135"/>
        <v>0</v>
      </c>
      <c r="AK216" s="387">
        <f t="shared" si="136"/>
        <v>0</v>
      </c>
      <c r="AL216" s="387">
        <f t="shared" si="104"/>
        <v>0</v>
      </c>
      <c r="AM216" s="388">
        <f t="shared" si="105"/>
        <v>0</v>
      </c>
    </row>
    <row r="217" spans="1:39" s="419" customFormat="1" ht="25.5" hidden="1" x14ac:dyDescent="0.2">
      <c r="A217" s="391" t="s">
        <v>638</v>
      </c>
      <c r="B217" s="416"/>
      <c r="C217" s="417"/>
      <c r="D217" s="417"/>
      <c r="E217" s="417"/>
      <c r="F217" s="418"/>
      <c r="G217" s="418"/>
      <c r="H217" s="418"/>
      <c r="I217" s="418"/>
      <c r="J217" s="421"/>
      <c r="K217" s="421"/>
      <c r="L217" s="421"/>
      <c r="M217" s="421"/>
      <c r="N217" s="412"/>
      <c r="O217" s="412"/>
      <c r="P217" s="412"/>
      <c r="Q217" s="412"/>
      <c r="R217" s="412"/>
      <c r="S217" s="412"/>
      <c r="T217" s="412"/>
      <c r="U217" s="412"/>
      <c r="V217" s="412"/>
      <c r="W217" s="412"/>
      <c r="X217" s="412"/>
      <c r="Y217" s="412"/>
      <c r="Z217" s="412"/>
      <c r="AA217" s="412"/>
      <c r="AB217" s="412"/>
      <c r="AC217" s="412"/>
      <c r="AD217" s="412"/>
      <c r="AE217" s="412"/>
      <c r="AF217" s="412"/>
      <c r="AG217" s="412"/>
      <c r="AH217" s="412"/>
      <c r="AI217" s="387">
        <f t="shared" si="134"/>
        <v>0</v>
      </c>
      <c r="AJ217" s="387">
        <f t="shared" si="135"/>
        <v>0</v>
      </c>
      <c r="AK217" s="387">
        <f t="shared" si="136"/>
        <v>0</v>
      </c>
      <c r="AL217" s="387">
        <f t="shared" si="104"/>
        <v>0</v>
      </c>
      <c r="AM217" s="388">
        <f t="shared" si="105"/>
        <v>0</v>
      </c>
    </row>
    <row r="218" spans="1:39" s="419" customFormat="1" ht="25.5" hidden="1" x14ac:dyDescent="0.2">
      <c r="A218" s="391" t="s">
        <v>639</v>
      </c>
      <c r="B218" s="416"/>
      <c r="C218" s="417"/>
      <c r="D218" s="417"/>
      <c r="E218" s="417"/>
      <c r="F218" s="418"/>
      <c r="G218" s="418"/>
      <c r="H218" s="418"/>
      <c r="I218" s="418"/>
      <c r="J218" s="421"/>
      <c r="K218" s="421"/>
      <c r="L218" s="421"/>
      <c r="M218" s="421"/>
      <c r="N218" s="412"/>
      <c r="O218" s="412"/>
      <c r="P218" s="412"/>
      <c r="Q218" s="412"/>
      <c r="R218" s="412"/>
      <c r="S218" s="412"/>
      <c r="T218" s="412"/>
      <c r="U218" s="412"/>
      <c r="V218" s="412"/>
      <c r="W218" s="412"/>
      <c r="X218" s="412"/>
      <c r="Y218" s="412"/>
      <c r="Z218" s="412"/>
      <c r="AA218" s="412"/>
      <c r="AB218" s="412"/>
      <c r="AC218" s="412"/>
      <c r="AD218" s="412"/>
      <c r="AE218" s="412"/>
      <c r="AF218" s="412"/>
      <c r="AG218" s="412"/>
      <c r="AH218" s="412"/>
      <c r="AI218" s="387">
        <f t="shared" si="134"/>
        <v>0</v>
      </c>
      <c r="AJ218" s="387">
        <f t="shared" si="135"/>
        <v>0</v>
      </c>
      <c r="AK218" s="387">
        <f t="shared" si="136"/>
        <v>0</v>
      </c>
      <c r="AL218" s="387">
        <f t="shared" si="104"/>
        <v>0</v>
      </c>
      <c r="AM218" s="388">
        <f t="shared" si="105"/>
        <v>0</v>
      </c>
    </row>
    <row r="219" spans="1:39" s="419" customFormat="1" ht="25.5" hidden="1" x14ac:dyDescent="0.2">
      <c r="A219" s="391" t="s">
        <v>640</v>
      </c>
      <c r="B219" s="416"/>
      <c r="C219" s="417"/>
      <c r="D219" s="417"/>
      <c r="E219" s="417"/>
      <c r="F219" s="418"/>
      <c r="G219" s="418"/>
      <c r="H219" s="418"/>
      <c r="I219" s="418"/>
      <c r="J219" s="421"/>
      <c r="K219" s="421"/>
      <c r="L219" s="421"/>
      <c r="M219" s="421"/>
      <c r="N219" s="412"/>
      <c r="O219" s="412"/>
      <c r="P219" s="412"/>
      <c r="Q219" s="412"/>
      <c r="R219" s="412"/>
      <c r="S219" s="412"/>
      <c r="T219" s="412"/>
      <c r="U219" s="412"/>
      <c r="V219" s="412"/>
      <c r="W219" s="412"/>
      <c r="X219" s="412"/>
      <c r="Y219" s="412"/>
      <c r="Z219" s="412"/>
      <c r="AA219" s="412"/>
      <c r="AB219" s="412"/>
      <c r="AC219" s="412"/>
      <c r="AD219" s="412"/>
      <c r="AE219" s="412"/>
      <c r="AF219" s="412"/>
      <c r="AG219" s="412"/>
      <c r="AH219" s="412"/>
      <c r="AI219" s="387">
        <f t="shared" si="134"/>
        <v>0</v>
      </c>
      <c r="AJ219" s="387">
        <f t="shared" si="135"/>
        <v>0</v>
      </c>
      <c r="AK219" s="387">
        <f t="shared" si="136"/>
        <v>0</v>
      </c>
      <c r="AL219" s="387">
        <f t="shared" si="104"/>
        <v>0</v>
      </c>
      <c r="AM219" s="388">
        <f t="shared" si="105"/>
        <v>0</v>
      </c>
    </row>
    <row r="220" spans="1:39" s="419" customFormat="1" ht="25.5" hidden="1" x14ac:dyDescent="0.2">
      <c r="A220" s="391" t="s">
        <v>641</v>
      </c>
      <c r="B220" s="416"/>
      <c r="C220" s="417"/>
      <c r="D220" s="417"/>
      <c r="E220" s="417"/>
      <c r="F220" s="418"/>
      <c r="G220" s="418"/>
      <c r="H220" s="418"/>
      <c r="I220" s="418"/>
      <c r="J220" s="421"/>
      <c r="K220" s="421"/>
      <c r="L220" s="421"/>
      <c r="M220" s="421"/>
      <c r="N220" s="412"/>
      <c r="O220" s="412"/>
      <c r="P220" s="412"/>
      <c r="Q220" s="412"/>
      <c r="R220" s="412"/>
      <c r="S220" s="412"/>
      <c r="T220" s="412"/>
      <c r="U220" s="412"/>
      <c r="V220" s="412"/>
      <c r="W220" s="412"/>
      <c r="X220" s="412"/>
      <c r="Y220" s="412"/>
      <c r="Z220" s="412"/>
      <c r="AA220" s="412"/>
      <c r="AB220" s="412"/>
      <c r="AC220" s="412"/>
      <c r="AD220" s="412"/>
      <c r="AE220" s="412"/>
      <c r="AF220" s="412"/>
      <c r="AG220" s="412"/>
      <c r="AH220" s="412"/>
      <c r="AI220" s="387">
        <f t="shared" si="134"/>
        <v>0</v>
      </c>
      <c r="AJ220" s="387">
        <f t="shared" si="135"/>
        <v>0</v>
      </c>
      <c r="AK220" s="387">
        <f t="shared" si="136"/>
        <v>0</v>
      </c>
      <c r="AL220" s="387">
        <f t="shared" si="104"/>
        <v>0</v>
      </c>
      <c r="AM220" s="388">
        <f t="shared" si="105"/>
        <v>0</v>
      </c>
    </row>
    <row r="221" spans="1:39" s="419" customFormat="1" ht="25.5" hidden="1" x14ac:dyDescent="0.2">
      <c r="A221" s="391" t="s">
        <v>642</v>
      </c>
      <c r="B221" s="416"/>
      <c r="C221" s="417"/>
      <c r="D221" s="417"/>
      <c r="E221" s="417"/>
      <c r="F221" s="418"/>
      <c r="G221" s="418"/>
      <c r="H221" s="418"/>
      <c r="I221" s="418"/>
      <c r="J221" s="446"/>
      <c r="K221" s="446"/>
      <c r="L221" s="446"/>
      <c r="M221" s="446"/>
      <c r="N221" s="446"/>
      <c r="O221" s="446"/>
      <c r="P221" s="446"/>
      <c r="Q221" s="446"/>
      <c r="R221" s="412"/>
      <c r="S221" s="412"/>
      <c r="T221" s="412"/>
      <c r="U221" s="412"/>
      <c r="V221" s="412"/>
      <c r="W221" s="412"/>
      <c r="X221" s="412"/>
      <c r="Y221" s="412"/>
      <c r="Z221" s="412"/>
      <c r="AA221" s="412"/>
      <c r="AB221" s="412"/>
      <c r="AC221" s="412"/>
      <c r="AD221" s="412"/>
      <c r="AE221" s="412"/>
      <c r="AF221" s="412"/>
      <c r="AG221" s="412"/>
      <c r="AH221" s="412"/>
      <c r="AI221" s="387">
        <f t="shared" si="134"/>
        <v>0</v>
      </c>
      <c r="AJ221" s="387">
        <f t="shared" si="135"/>
        <v>0</v>
      </c>
      <c r="AK221" s="387">
        <f t="shared" si="136"/>
        <v>0</v>
      </c>
      <c r="AL221" s="387">
        <f t="shared" si="104"/>
        <v>0</v>
      </c>
      <c r="AM221" s="388">
        <f t="shared" si="105"/>
        <v>0</v>
      </c>
    </row>
    <row r="222" spans="1:39" s="419" customFormat="1" ht="25.5" hidden="1" x14ac:dyDescent="0.2">
      <c r="A222" s="391" t="s">
        <v>643</v>
      </c>
      <c r="B222" s="416"/>
      <c r="C222" s="417"/>
      <c r="D222" s="417"/>
      <c r="E222" s="417"/>
      <c r="F222" s="418"/>
      <c r="G222" s="418"/>
      <c r="H222" s="418"/>
      <c r="I222" s="418"/>
      <c r="J222" s="421"/>
      <c r="K222" s="421"/>
      <c r="L222" s="421"/>
      <c r="M222" s="421"/>
      <c r="N222" s="412"/>
      <c r="O222" s="412"/>
      <c r="P222" s="412"/>
      <c r="Q222" s="412"/>
      <c r="R222" s="412"/>
      <c r="S222" s="412"/>
      <c r="T222" s="412"/>
      <c r="U222" s="412"/>
      <c r="V222" s="412"/>
      <c r="W222" s="412"/>
      <c r="X222" s="412"/>
      <c r="Y222" s="412"/>
      <c r="Z222" s="412"/>
      <c r="AA222" s="412"/>
      <c r="AB222" s="412"/>
      <c r="AC222" s="412"/>
      <c r="AD222" s="412"/>
      <c r="AE222" s="412"/>
      <c r="AF222" s="412"/>
      <c r="AG222" s="412"/>
      <c r="AH222" s="412"/>
      <c r="AI222" s="387">
        <f t="shared" si="134"/>
        <v>0</v>
      </c>
      <c r="AJ222" s="387">
        <f t="shared" si="135"/>
        <v>0</v>
      </c>
      <c r="AK222" s="387">
        <f t="shared" si="136"/>
        <v>0</v>
      </c>
      <c r="AL222" s="387">
        <f t="shared" si="104"/>
        <v>0</v>
      </c>
      <c r="AM222" s="388">
        <f t="shared" si="105"/>
        <v>0</v>
      </c>
    </row>
    <row r="223" spans="1:39" s="400" customFormat="1" ht="51" hidden="1" x14ac:dyDescent="0.25">
      <c r="A223" s="1055" t="s">
        <v>644</v>
      </c>
      <c r="B223" s="431"/>
      <c r="C223" s="432"/>
      <c r="D223" s="432"/>
      <c r="E223" s="432"/>
      <c r="F223" s="440">
        <v>0</v>
      </c>
      <c r="G223" s="440">
        <v>0</v>
      </c>
      <c r="H223" s="440">
        <v>0</v>
      </c>
      <c r="I223" s="440">
        <v>0</v>
      </c>
      <c r="J223" s="1058">
        <v>0</v>
      </c>
      <c r="K223" s="1058"/>
      <c r="L223" s="1058"/>
      <c r="M223" s="1058"/>
      <c r="N223" s="1058">
        <v>0</v>
      </c>
      <c r="O223" s="1058"/>
      <c r="P223" s="1058"/>
      <c r="Q223" s="1058"/>
      <c r="R223" s="1058">
        <v>0</v>
      </c>
      <c r="S223" s="1058"/>
      <c r="T223" s="1058"/>
      <c r="U223" s="1058"/>
      <c r="V223" s="1058">
        <v>0</v>
      </c>
      <c r="W223" s="1058"/>
      <c r="X223" s="1058"/>
      <c r="Y223" s="1058"/>
      <c r="Z223" s="1058">
        <v>0</v>
      </c>
      <c r="AA223" s="1058"/>
      <c r="AB223" s="1058"/>
      <c r="AC223" s="1058"/>
      <c r="AD223" s="1058">
        <v>0</v>
      </c>
      <c r="AE223" s="1058"/>
      <c r="AF223" s="1058"/>
      <c r="AG223" s="1058"/>
      <c r="AH223" s="1058">
        <v>0</v>
      </c>
      <c r="AI223" s="387">
        <f t="shared" si="134"/>
        <v>0</v>
      </c>
      <c r="AJ223" s="387">
        <f t="shared" si="135"/>
        <v>0</v>
      </c>
      <c r="AK223" s="387">
        <f t="shared" si="136"/>
        <v>0</v>
      </c>
      <c r="AL223" s="387">
        <f t="shared" si="104"/>
        <v>0</v>
      </c>
      <c r="AM223" s="388">
        <f t="shared" si="105"/>
        <v>0</v>
      </c>
    </row>
    <row r="224" spans="1:39" s="465" customFormat="1" ht="26.25" hidden="1" customHeight="1" x14ac:dyDescent="0.2">
      <c r="A224" s="391" t="s">
        <v>645</v>
      </c>
      <c r="B224" s="416"/>
      <c r="C224" s="417"/>
      <c r="D224" s="417"/>
      <c r="E224" s="417"/>
      <c r="F224" s="418"/>
      <c r="G224" s="418"/>
      <c r="H224" s="418"/>
      <c r="I224" s="418"/>
      <c r="J224" s="421"/>
      <c r="K224" s="421"/>
      <c r="L224" s="421"/>
      <c r="M224" s="421"/>
      <c r="N224" s="412"/>
      <c r="O224" s="412"/>
      <c r="P224" s="412"/>
      <c r="Q224" s="412"/>
      <c r="R224" s="412"/>
      <c r="S224" s="412"/>
      <c r="T224" s="412"/>
      <c r="U224" s="412"/>
      <c r="V224" s="412"/>
      <c r="W224" s="412"/>
      <c r="X224" s="412"/>
      <c r="Y224" s="412"/>
      <c r="Z224" s="412"/>
      <c r="AA224" s="412"/>
      <c r="AB224" s="412"/>
      <c r="AC224" s="412"/>
      <c r="AD224" s="412"/>
      <c r="AE224" s="412"/>
      <c r="AF224" s="412"/>
      <c r="AG224" s="412"/>
      <c r="AH224" s="412"/>
      <c r="AI224" s="387">
        <f t="shared" si="134"/>
        <v>0</v>
      </c>
      <c r="AJ224" s="387">
        <f t="shared" si="135"/>
        <v>0</v>
      </c>
      <c r="AK224" s="387">
        <f t="shared" si="136"/>
        <v>0</v>
      </c>
      <c r="AL224" s="387">
        <f t="shared" si="104"/>
        <v>0</v>
      </c>
      <c r="AM224" s="388">
        <f t="shared" si="105"/>
        <v>0</v>
      </c>
    </row>
    <row r="225" spans="1:39" s="419" customFormat="1" ht="25.5" hidden="1" x14ac:dyDescent="0.2">
      <c r="A225" s="391" t="s">
        <v>646</v>
      </c>
      <c r="B225" s="416"/>
      <c r="C225" s="417"/>
      <c r="D225" s="417"/>
      <c r="E225" s="417"/>
      <c r="F225" s="418"/>
      <c r="G225" s="418"/>
      <c r="H225" s="418"/>
      <c r="I225" s="418"/>
      <c r="J225" s="421"/>
      <c r="K225" s="421"/>
      <c r="L225" s="421"/>
      <c r="M225" s="421"/>
      <c r="N225" s="412"/>
      <c r="O225" s="412"/>
      <c r="P225" s="412"/>
      <c r="Q225" s="412"/>
      <c r="R225" s="412"/>
      <c r="S225" s="412"/>
      <c r="T225" s="412"/>
      <c r="U225" s="412"/>
      <c r="V225" s="412"/>
      <c r="W225" s="412"/>
      <c r="X225" s="412"/>
      <c r="Y225" s="412"/>
      <c r="Z225" s="412"/>
      <c r="AA225" s="412"/>
      <c r="AB225" s="412"/>
      <c r="AC225" s="412"/>
      <c r="AD225" s="412"/>
      <c r="AE225" s="412"/>
      <c r="AF225" s="412"/>
      <c r="AG225" s="412"/>
      <c r="AH225" s="412"/>
      <c r="AI225" s="387">
        <f t="shared" si="134"/>
        <v>0</v>
      </c>
      <c r="AJ225" s="387">
        <f t="shared" si="135"/>
        <v>0</v>
      </c>
      <c r="AK225" s="387">
        <f t="shared" si="136"/>
        <v>0</v>
      </c>
      <c r="AL225" s="387">
        <f t="shared" si="104"/>
        <v>0</v>
      </c>
      <c r="AM225" s="388">
        <f t="shared" si="105"/>
        <v>0</v>
      </c>
    </row>
    <row r="226" spans="1:39" s="419" customFormat="1" ht="38.25" hidden="1" x14ac:dyDescent="0.2">
      <c r="A226" s="391" t="s">
        <v>647</v>
      </c>
      <c r="B226" s="416"/>
      <c r="C226" s="417"/>
      <c r="D226" s="417"/>
      <c r="E226" s="417"/>
      <c r="F226" s="394"/>
      <c r="G226" s="394"/>
      <c r="H226" s="394"/>
      <c r="I226" s="394"/>
      <c r="J226" s="421"/>
      <c r="K226" s="421"/>
      <c r="L226" s="421"/>
      <c r="M226" s="421"/>
      <c r="N226" s="412"/>
      <c r="O226" s="412"/>
      <c r="P226" s="412"/>
      <c r="Q226" s="412"/>
      <c r="R226" s="412"/>
      <c r="S226" s="412"/>
      <c r="T226" s="412"/>
      <c r="U226" s="412"/>
      <c r="V226" s="412"/>
      <c r="W226" s="412"/>
      <c r="X226" s="412"/>
      <c r="Y226" s="412"/>
      <c r="Z226" s="412"/>
      <c r="AA226" s="412"/>
      <c r="AB226" s="412"/>
      <c r="AC226" s="412"/>
      <c r="AD226" s="412"/>
      <c r="AE226" s="412"/>
      <c r="AF226" s="412"/>
      <c r="AG226" s="412"/>
      <c r="AH226" s="412"/>
      <c r="AI226" s="387">
        <f t="shared" si="134"/>
        <v>0</v>
      </c>
      <c r="AJ226" s="387">
        <f t="shared" si="135"/>
        <v>0</v>
      </c>
      <c r="AK226" s="387">
        <f t="shared" si="136"/>
        <v>0</v>
      </c>
      <c r="AL226" s="387">
        <f t="shared" si="104"/>
        <v>0</v>
      </c>
      <c r="AM226" s="388">
        <f t="shared" si="105"/>
        <v>0</v>
      </c>
    </row>
    <row r="227" spans="1:39" s="419" customFormat="1" ht="25.5" hidden="1" x14ac:dyDescent="0.2">
      <c r="A227" s="391" t="s">
        <v>648</v>
      </c>
      <c r="B227" s="416"/>
      <c r="C227" s="417"/>
      <c r="D227" s="417"/>
      <c r="E227" s="417"/>
      <c r="F227" s="418"/>
      <c r="G227" s="418"/>
      <c r="H227" s="418"/>
      <c r="I227" s="418"/>
      <c r="J227" s="421"/>
      <c r="K227" s="421"/>
      <c r="L227" s="421"/>
      <c r="M227" s="421"/>
      <c r="N227" s="412"/>
      <c r="O227" s="412"/>
      <c r="P227" s="412"/>
      <c r="Q227" s="412"/>
      <c r="R227" s="412"/>
      <c r="S227" s="412"/>
      <c r="T227" s="412"/>
      <c r="U227" s="412"/>
      <c r="V227" s="412"/>
      <c r="W227" s="412"/>
      <c r="X227" s="412"/>
      <c r="Y227" s="412"/>
      <c r="Z227" s="412"/>
      <c r="AA227" s="412"/>
      <c r="AB227" s="412"/>
      <c r="AC227" s="412"/>
      <c r="AD227" s="412"/>
      <c r="AE227" s="412"/>
      <c r="AF227" s="412"/>
      <c r="AG227" s="412"/>
      <c r="AH227" s="412"/>
      <c r="AI227" s="387">
        <f t="shared" si="134"/>
        <v>0</v>
      </c>
      <c r="AJ227" s="387">
        <f t="shared" si="135"/>
        <v>0</v>
      </c>
      <c r="AK227" s="387">
        <f t="shared" si="136"/>
        <v>0</v>
      </c>
      <c r="AL227" s="387">
        <f t="shared" si="104"/>
        <v>0</v>
      </c>
      <c r="AM227" s="388">
        <f t="shared" si="105"/>
        <v>0</v>
      </c>
    </row>
    <row r="228" spans="1:39" s="419" customFormat="1" ht="25.5" hidden="1" x14ac:dyDescent="0.2">
      <c r="A228" s="391" t="s">
        <v>649</v>
      </c>
      <c r="B228" s="416"/>
      <c r="C228" s="417"/>
      <c r="D228" s="417"/>
      <c r="E228" s="417"/>
      <c r="F228" s="418"/>
      <c r="G228" s="418"/>
      <c r="H228" s="418"/>
      <c r="I228" s="418"/>
      <c r="J228" s="421"/>
      <c r="K228" s="421"/>
      <c r="L228" s="421"/>
      <c r="M228" s="421"/>
      <c r="N228" s="412"/>
      <c r="O228" s="412"/>
      <c r="P228" s="412"/>
      <c r="Q228" s="412"/>
      <c r="R228" s="412"/>
      <c r="S228" s="412"/>
      <c r="T228" s="412"/>
      <c r="U228" s="412"/>
      <c r="V228" s="412"/>
      <c r="W228" s="412"/>
      <c r="X228" s="412"/>
      <c r="Y228" s="412"/>
      <c r="Z228" s="412"/>
      <c r="AA228" s="412"/>
      <c r="AB228" s="412"/>
      <c r="AC228" s="412"/>
      <c r="AD228" s="412"/>
      <c r="AE228" s="412"/>
      <c r="AF228" s="412"/>
      <c r="AG228" s="412"/>
      <c r="AH228" s="412"/>
      <c r="AI228" s="387">
        <f t="shared" si="134"/>
        <v>0</v>
      </c>
      <c r="AJ228" s="387">
        <f t="shared" si="135"/>
        <v>0</v>
      </c>
      <c r="AK228" s="387">
        <f t="shared" si="136"/>
        <v>0</v>
      </c>
      <c r="AL228" s="387">
        <f t="shared" si="104"/>
        <v>0</v>
      </c>
      <c r="AM228" s="388">
        <f t="shared" si="105"/>
        <v>0</v>
      </c>
    </row>
    <row r="229" spans="1:39" s="419" customFormat="1" ht="25.5" hidden="1" x14ac:dyDescent="0.2">
      <c r="A229" s="391" t="s">
        <v>650</v>
      </c>
      <c r="B229" s="416"/>
      <c r="C229" s="417"/>
      <c r="D229" s="417"/>
      <c r="E229" s="417"/>
      <c r="F229" s="418"/>
      <c r="G229" s="418"/>
      <c r="H229" s="418"/>
      <c r="I229" s="418"/>
      <c r="J229" s="421"/>
      <c r="K229" s="421"/>
      <c r="L229" s="421"/>
      <c r="M229" s="421"/>
      <c r="N229" s="412"/>
      <c r="O229" s="412"/>
      <c r="P229" s="412"/>
      <c r="Q229" s="412"/>
      <c r="R229" s="412"/>
      <c r="S229" s="412"/>
      <c r="T229" s="412"/>
      <c r="U229" s="412"/>
      <c r="V229" s="412"/>
      <c r="W229" s="412"/>
      <c r="X229" s="412"/>
      <c r="Y229" s="412"/>
      <c r="Z229" s="412"/>
      <c r="AA229" s="412"/>
      <c r="AB229" s="412"/>
      <c r="AC229" s="412"/>
      <c r="AD229" s="412"/>
      <c r="AE229" s="412"/>
      <c r="AF229" s="412"/>
      <c r="AG229" s="412"/>
      <c r="AH229" s="412"/>
      <c r="AI229" s="387">
        <f t="shared" si="134"/>
        <v>0</v>
      </c>
      <c r="AJ229" s="387">
        <f t="shared" si="135"/>
        <v>0</v>
      </c>
      <c r="AK229" s="387">
        <f t="shared" si="136"/>
        <v>0</v>
      </c>
      <c r="AL229" s="387">
        <f t="shared" si="104"/>
        <v>0</v>
      </c>
      <c r="AM229" s="388">
        <f t="shared" si="105"/>
        <v>0</v>
      </c>
    </row>
    <row r="230" spans="1:39" s="419" customFormat="1" ht="25.5" hidden="1" x14ac:dyDescent="0.2">
      <c r="A230" s="391" t="s">
        <v>651</v>
      </c>
      <c r="B230" s="416"/>
      <c r="C230" s="417"/>
      <c r="D230" s="417"/>
      <c r="E230" s="417"/>
      <c r="F230" s="418"/>
      <c r="G230" s="418"/>
      <c r="H230" s="418"/>
      <c r="I230" s="418"/>
      <c r="J230" s="421"/>
      <c r="K230" s="421"/>
      <c r="L230" s="421"/>
      <c r="M230" s="421"/>
      <c r="N230" s="412"/>
      <c r="O230" s="412"/>
      <c r="P230" s="412"/>
      <c r="Q230" s="412"/>
      <c r="R230" s="412"/>
      <c r="S230" s="412"/>
      <c r="T230" s="412"/>
      <c r="U230" s="412"/>
      <c r="V230" s="412"/>
      <c r="W230" s="412"/>
      <c r="X230" s="412"/>
      <c r="Y230" s="412"/>
      <c r="Z230" s="412"/>
      <c r="AA230" s="412"/>
      <c r="AB230" s="412"/>
      <c r="AC230" s="412"/>
      <c r="AD230" s="412"/>
      <c r="AE230" s="412"/>
      <c r="AF230" s="412"/>
      <c r="AG230" s="412"/>
      <c r="AH230" s="412"/>
      <c r="AI230" s="387">
        <f t="shared" si="134"/>
        <v>0</v>
      </c>
      <c r="AJ230" s="387">
        <f t="shared" si="135"/>
        <v>0</v>
      </c>
      <c r="AK230" s="387">
        <f t="shared" si="136"/>
        <v>0</v>
      </c>
      <c r="AL230" s="387">
        <f t="shared" si="104"/>
        <v>0</v>
      </c>
      <c r="AM230" s="388">
        <f t="shared" si="105"/>
        <v>0</v>
      </c>
    </row>
    <row r="231" spans="1:39" s="419" customFormat="1" ht="25.5" hidden="1" x14ac:dyDescent="0.2">
      <c r="A231" s="391" t="s">
        <v>652</v>
      </c>
      <c r="B231" s="416"/>
      <c r="C231" s="417"/>
      <c r="D231" s="417"/>
      <c r="E231" s="417"/>
      <c r="F231" s="418"/>
      <c r="G231" s="418"/>
      <c r="H231" s="418"/>
      <c r="I231" s="418"/>
      <c r="J231" s="421"/>
      <c r="K231" s="421"/>
      <c r="L231" s="421"/>
      <c r="M231" s="421"/>
      <c r="N231" s="412"/>
      <c r="O231" s="412"/>
      <c r="P231" s="412"/>
      <c r="Q231" s="412"/>
      <c r="R231" s="412"/>
      <c r="S231" s="412"/>
      <c r="T231" s="412"/>
      <c r="U231" s="412"/>
      <c r="V231" s="412"/>
      <c r="W231" s="412"/>
      <c r="X231" s="412"/>
      <c r="Y231" s="412"/>
      <c r="Z231" s="412"/>
      <c r="AA231" s="412"/>
      <c r="AB231" s="412"/>
      <c r="AC231" s="412"/>
      <c r="AD231" s="412"/>
      <c r="AE231" s="412"/>
      <c r="AF231" s="412"/>
      <c r="AG231" s="412"/>
      <c r="AH231" s="412"/>
      <c r="AI231" s="387">
        <f t="shared" si="134"/>
        <v>0</v>
      </c>
      <c r="AJ231" s="387">
        <f t="shared" si="135"/>
        <v>0</v>
      </c>
      <c r="AK231" s="387">
        <f t="shared" si="136"/>
        <v>0</v>
      </c>
      <c r="AL231" s="387">
        <f t="shared" si="104"/>
        <v>0</v>
      </c>
      <c r="AM231" s="388">
        <f t="shared" si="105"/>
        <v>0</v>
      </c>
    </row>
    <row r="232" spans="1:39" s="419" customFormat="1" ht="25.5" hidden="1" x14ac:dyDescent="0.2">
      <c r="A232" s="391" t="s">
        <v>653</v>
      </c>
      <c r="B232" s="416"/>
      <c r="C232" s="417"/>
      <c r="D232" s="417"/>
      <c r="E232" s="417"/>
      <c r="F232" s="418"/>
      <c r="G232" s="418"/>
      <c r="H232" s="418"/>
      <c r="I232" s="418"/>
      <c r="J232" s="446"/>
      <c r="K232" s="446"/>
      <c r="L232" s="446"/>
      <c r="M232" s="446"/>
      <c r="N232" s="446"/>
      <c r="O232" s="446"/>
      <c r="P232" s="446"/>
      <c r="Q232" s="446"/>
      <c r="R232" s="412"/>
      <c r="S232" s="412"/>
      <c r="T232" s="412"/>
      <c r="U232" s="412"/>
      <c r="V232" s="412"/>
      <c r="W232" s="412"/>
      <c r="X232" s="412"/>
      <c r="Y232" s="412"/>
      <c r="Z232" s="412"/>
      <c r="AA232" s="412"/>
      <c r="AB232" s="412"/>
      <c r="AC232" s="412"/>
      <c r="AD232" s="412"/>
      <c r="AE232" s="412"/>
      <c r="AF232" s="412"/>
      <c r="AG232" s="412"/>
      <c r="AH232" s="412"/>
      <c r="AI232" s="387">
        <f t="shared" si="134"/>
        <v>0</v>
      </c>
      <c r="AJ232" s="387">
        <f t="shared" si="135"/>
        <v>0</v>
      </c>
      <c r="AK232" s="387">
        <f t="shared" si="136"/>
        <v>0</v>
      </c>
      <c r="AL232" s="387">
        <f t="shared" si="104"/>
        <v>0</v>
      </c>
      <c r="AM232" s="388">
        <f t="shared" si="105"/>
        <v>0</v>
      </c>
    </row>
    <row r="233" spans="1:39" s="419" customFormat="1" ht="25.5" hidden="1" x14ac:dyDescent="0.2">
      <c r="A233" s="391" t="s">
        <v>654</v>
      </c>
      <c r="B233" s="416"/>
      <c r="C233" s="417"/>
      <c r="D233" s="417"/>
      <c r="E233" s="417"/>
      <c r="F233" s="418"/>
      <c r="G233" s="418"/>
      <c r="H233" s="418"/>
      <c r="I233" s="418"/>
      <c r="J233" s="421"/>
      <c r="K233" s="421"/>
      <c r="L233" s="421"/>
      <c r="M233" s="421"/>
      <c r="N233" s="412"/>
      <c r="O233" s="412"/>
      <c r="P233" s="412"/>
      <c r="Q233" s="412"/>
      <c r="R233" s="412"/>
      <c r="S233" s="412"/>
      <c r="T233" s="412"/>
      <c r="U233" s="412"/>
      <c r="V233" s="412"/>
      <c r="W233" s="412"/>
      <c r="X233" s="412"/>
      <c r="Y233" s="412"/>
      <c r="Z233" s="412"/>
      <c r="AA233" s="412"/>
      <c r="AB233" s="412"/>
      <c r="AC233" s="412"/>
      <c r="AD233" s="412"/>
      <c r="AE233" s="412"/>
      <c r="AF233" s="412"/>
      <c r="AG233" s="412"/>
      <c r="AH233" s="412"/>
      <c r="AI233" s="387">
        <f t="shared" si="134"/>
        <v>0</v>
      </c>
      <c r="AJ233" s="387">
        <f t="shared" si="135"/>
        <v>0</v>
      </c>
      <c r="AK233" s="387">
        <f t="shared" si="136"/>
        <v>0</v>
      </c>
      <c r="AL233" s="387">
        <f t="shared" si="104"/>
        <v>0</v>
      </c>
      <c r="AM233" s="388">
        <f t="shared" si="105"/>
        <v>0</v>
      </c>
    </row>
    <row r="234" spans="1:39" s="400" customFormat="1" ht="38.25" x14ac:dyDescent="0.25">
      <c r="A234" s="1055" t="s">
        <v>655</v>
      </c>
      <c r="B234" s="431"/>
      <c r="C234" s="432">
        <f>+C241</f>
        <v>200000</v>
      </c>
      <c r="D234" s="432">
        <f>+D241</f>
        <v>200000</v>
      </c>
      <c r="E234" s="432"/>
      <c r="F234" s="440">
        <f>+F241</f>
        <v>200000</v>
      </c>
      <c r="G234" s="440">
        <v>0</v>
      </c>
      <c r="H234" s="440">
        <v>0</v>
      </c>
      <c r="I234" s="440">
        <v>0</v>
      </c>
      <c r="J234" s="1058">
        <v>0</v>
      </c>
      <c r="K234" s="1058"/>
      <c r="L234" s="1058"/>
      <c r="M234" s="1058"/>
      <c r="N234" s="1058">
        <v>0</v>
      </c>
      <c r="O234" s="1058"/>
      <c r="P234" s="1058"/>
      <c r="Q234" s="1058"/>
      <c r="R234" s="1058">
        <v>0</v>
      </c>
      <c r="S234" s="1058"/>
      <c r="T234" s="1058"/>
      <c r="U234" s="1058"/>
      <c r="V234" s="1058">
        <v>0</v>
      </c>
      <c r="W234" s="1058"/>
      <c r="X234" s="1058"/>
      <c r="Y234" s="1058"/>
      <c r="Z234" s="1058">
        <v>0</v>
      </c>
      <c r="AA234" s="1058"/>
      <c r="AB234" s="1058"/>
      <c r="AC234" s="1058"/>
      <c r="AD234" s="1058">
        <v>0</v>
      </c>
      <c r="AE234" s="1058"/>
      <c r="AF234" s="1058"/>
      <c r="AG234" s="1058"/>
      <c r="AH234" s="1058">
        <v>0</v>
      </c>
      <c r="AI234" s="387">
        <f t="shared" si="134"/>
        <v>200000</v>
      </c>
      <c r="AJ234" s="387">
        <f t="shared" si="135"/>
        <v>200000</v>
      </c>
      <c r="AK234" s="387">
        <f t="shared" si="136"/>
        <v>0</v>
      </c>
      <c r="AL234" s="387">
        <f t="shared" si="104"/>
        <v>200000</v>
      </c>
      <c r="AM234" s="388">
        <f t="shared" si="105"/>
        <v>0</v>
      </c>
    </row>
    <row r="235" spans="1:39" s="413" customFormat="1" ht="30.75" hidden="1" customHeight="1" x14ac:dyDescent="0.2">
      <c r="A235" s="391" t="s">
        <v>656</v>
      </c>
      <c r="B235" s="411"/>
      <c r="C235" s="393"/>
      <c r="D235" s="393"/>
      <c r="E235" s="393"/>
      <c r="F235" s="418"/>
      <c r="G235" s="418"/>
      <c r="H235" s="418"/>
      <c r="I235" s="418"/>
      <c r="J235" s="421"/>
      <c r="K235" s="421"/>
      <c r="L235" s="421"/>
      <c r="M235" s="421"/>
      <c r="N235" s="412"/>
      <c r="O235" s="412"/>
      <c r="P235" s="412"/>
      <c r="Q235" s="412"/>
      <c r="R235" s="412"/>
      <c r="S235" s="412"/>
      <c r="T235" s="412"/>
      <c r="U235" s="412"/>
      <c r="V235" s="412"/>
      <c r="W235" s="412"/>
      <c r="X235" s="412"/>
      <c r="Y235" s="412"/>
      <c r="Z235" s="412"/>
      <c r="AA235" s="412"/>
      <c r="AB235" s="412"/>
      <c r="AC235" s="412"/>
      <c r="AD235" s="412"/>
      <c r="AE235" s="412"/>
      <c r="AF235" s="412"/>
      <c r="AG235" s="412"/>
      <c r="AH235" s="412"/>
      <c r="AI235" s="387">
        <f t="shared" si="134"/>
        <v>0</v>
      </c>
      <c r="AJ235" s="387">
        <f t="shared" si="135"/>
        <v>0</v>
      </c>
      <c r="AK235" s="387">
        <f t="shared" si="136"/>
        <v>0</v>
      </c>
      <c r="AL235" s="387">
        <f t="shared" si="104"/>
        <v>0</v>
      </c>
      <c r="AM235" s="388">
        <f t="shared" si="105"/>
        <v>0</v>
      </c>
    </row>
    <row r="236" spans="1:39" s="419" customFormat="1" ht="25.5" hidden="1" x14ac:dyDescent="0.2">
      <c r="A236" s="391" t="s">
        <v>657</v>
      </c>
      <c r="B236" s="416"/>
      <c r="C236" s="417"/>
      <c r="D236" s="417"/>
      <c r="E236" s="417"/>
      <c r="F236" s="418"/>
      <c r="G236" s="418"/>
      <c r="H236" s="418"/>
      <c r="I236" s="418"/>
      <c r="J236" s="421"/>
      <c r="K236" s="421"/>
      <c r="L236" s="421"/>
      <c r="M236" s="421"/>
      <c r="N236" s="412"/>
      <c r="O236" s="412"/>
      <c r="P236" s="412"/>
      <c r="Q236" s="412"/>
      <c r="R236" s="412"/>
      <c r="S236" s="412"/>
      <c r="T236" s="412"/>
      <c r="U236" s="412"/>
      <c r="V236" s="412"/>
      <c r="W236" s="412"/>
      <c r="X236" s="412"/>
      <c r="Y236" s="412"/>
      <c r="Z236" s="412"/>
      <c r="AA236" s="412"/>
      <c r="AB236" s="412"/>
      <c r="AC236" s="412"/>
      <c r="AD236" s="412"/>
      <c r="AE236" s="412"/>
      <c r="AF236" s="412"/>
      <c r="AG236" s="412"/>
      <c r="AH236" s="412"/>
      <c r="AI236" s="387">
        <f t="shared" si="134"/>
        <v>0</v>
      </c>
      <c r="AJ236" s="387">
        <f t="shared" si="135"/>
        <v>0</v>
      </c>
      <c r="AK236" s="387">
        <f t="shared" si="136"/>
        <v>0</v>
      </c>
      <c r="AL236" s="387">
        <f t="shared" si="104"/>
        <v>0</v>
      </c>
      <c r="AM236" s="388">
        <f t="shared" si="105"/>
        <v>0</v>
      </c>
    </row>
    <row r="237" spans="1:39" s="419" customFormat="1" ht="38.25" hidden="1" x14ac:dyDescent="0.2">
      <c r="A237" s="391" t="s">
        <v>658</v>
      </c>
      <c r="B237" s="416"/>
      <c r="C237" s="417"/>
      <c r="D237" s="417"/>
      <c r="E237" s="417"/>
      <c r="F237" s="394"/>
      <c r="G237" s="394"/>
      <c r="H237" s="394"/>
      <c r="I237" s="394"/>
      <c r="J237" s="421"/>
      <c r="K237" s="421"/>
      <c r="L237" s="421"/>
      <c r="M237" s="421"/>
      <c r="N237" s="412"/>
      <c r="O237" s="412"/>
      <c r="P237" s="412"/>
      <c r="Q237" s="412"/>
      <c r="R237" s="412"/>
      <c r="S237" s="412"/>
      <c r="T237" s="412"/>
      <c r="U237" s="412"/>
      <c r="V237" s="412"/>
      <c r="W237" s="412"/>
      <c r="X237" s="412"/>
      <c r="Y237" s="412"/>
      <c r="Z237" s="412"/>
      <c r="AA237" s="412"/>
      <c r="AB237" s="412"/>
      <c r="AC237" s="412"/>
      <c r="AD237" s="412"/>
      <c r="AE237" s="412"/>
      <c r="AF237" s="412"/>
      <c r="AG237" s="412"/>
      <c r="AH237" s="412"/>
      <c r="AI237" s="387">
        <f t="shared" si="134"/>
        <v>0</v>
      </c>
      <c r="AJ237" s="387">
        <f t="shared" si="135"/>
        <v>0</v>
      </c>
      <c r="AK237" s="387">
        <f t="shared" si="136"/>
        <v>0</v>
      </c>
      <c r="AL237" s="387">
        <f t="shared" si="104"/>
        <v>0</v>
      </c>
      <c r="AM237" s="388">
        <f t="shared" si="105"/>
        <v>0</v>
      </c>
    </row>
    <row r="238" spans="1:39" s="419" customFormat="1" ht="25.5" hidden="1" x14ac:dyDescent="0.2">
      <c r="A238" s="391" t="s">
        <v>659</v>
      </c>
      <c r="B238" s="416"/>
      <c r="C238" s="417"/>
      <c r="D238" s="417"/>
      <c r="E238" s="417"/>
      <c r="F238" s="418"/>
      <c r="G238" s="418"/>
      <c r="H238" s="418"/>
      <c r="I238" s="418"/>
      <c r="J238" s="421"/>
      <c r="K238" s="421"/>
      <c r="L238" s="421"/>
      <c r="M238" s="421"/>
      <c r="N238" s="412"/>
      <c r="O238" s="412"/>
      <c r="P238" s="412"/>
      <c r="Q238" s="412"/>
      <c r="R238" s="412"/>
      <c r="S238" s="412"/>
      <c r="T238" s="412"/>
      <c r="U238" s="412"/>
      <c r="V238" s="412"/>
      <c r="W238" s="412"/>
      <c r="X238" s="412"/>
      <c r="Y238" s="412"/>
      <c r="Z238" s="412"/>
      <c r="AA238" s="412"/>
      <c r="AB238" s="412"/>
      <c r="AC238" s="412"/>
      <c r="AD238" s="412"/>
      <c r="AE238" s="412"/>
      <c r="AF238" s="412"/>
      <c r="AG238" s="412"/>
      <c r="AH238" s="412"/>
      <c r="AI238" s="387">
        <f t="shared" si="134"/>
        <v>0</v>
      </c>
      <c r="AJ238" s="387">
        <f t="shared" si="135"/>
        <v>0</v>
      </c>
      <c r="AK238" s="387">
        <f t="shared" si="136"/>
        <v>0</v>
      </c>
      <c r="AL238" s="387">
        <f t="shared" si="104"/>
        <v>0</v>
      </c>
      <c r="AM238" s="388">
        <f t="shared" si="105"/>
        <v>0</v>
      </c>
    </row>
    <row r="239" spans="1:39" s="419" customFormat="1" ht="25.5" hidden="1" x14ac:dyDescent="0.2">
      <c r="A239" s="391" t="s">
        <v>660</v>
      </c>
      <c r="B239" s="416"/>
      <c r="C239" s="417"/>
      <c r="D239" s="417"/>
      <c r="E239" s="417"/>
      <c r="F239" s="418"/>
      <c r="G239" s="418"/>
      <c r="H239" s="418"/>
      <c r="I239" s="418"/>
      <c r="J239" s="421"/>
      <c r="K239" s="421"/>
      <c r="L239" s="421"/>
      <c r="M239" s="421"/>
      <c r="N239" s="412"/>
      <c r="O239" s="412"/>
      <c r="P239" s="412"/>
      <c r="Q239" s="412"/>
      <c r="R239" s="412"/>
      <c r="S239" s="412"/>
      <c r="T239" s="412"/>
      <c r="U239" s="412"/>
      <c r="V239" s="412"/>
      <c r="W239" s="412"/>
      <c r="X239" s="412"/>
      <c r="Y239" s="412"/>
      <c r="Z239" s="412"/>
      <c r="AA239" s="412"/>
      <c r="AB239" s="412"/>
      <c r="AC239" s="412"/>
      <c r="AD239" s="412"/>
      <c r="AE239" s="412"/>
      <c r="AF239" s="412"/>
      <c r="AG239" s="412"/>
      <c r="AH239" s="412"/>
      <c r="AI239" s="387">
        <f t="shared" si="134"/>
        <v>0</v>
      </c>
      <c r="AJ239" s="387">
        <f t="shared" si="135"/>
        <v>0</v>
      </c>
      <c r="AK239" s="387">
        <f t="shared" si="136"/>
        <v>0</v>
      </c>
      <c r="AL239" s="387">
        <f t="shared" si="104"/>
        <v>0</v>
      </c>
      <c r="AM239" s="388">
        <f t="shared" si="105"/>
        <v>0</v>
      </c>
    </row>
    <row r="240" spans="1:39" s="419" customFormat="1" ht="25.5" hidden="1" x14ac:dyDescent="0.2">
      <c r="A240" s="391" t="s">
        <v>661</v>
      </c>
      <c r="B240" s="416"/>
      <c r="C240" s="417"/>
      <c r="D240" s="417"/>
      <c r="E240" s="417"/>
      <c r="F240" s="418"/>
      <c r="G240" s="418"/>
      <c r="H240" s="418"/>
      <c r="I240" s="418"/>
      <c r="J240" s="421"/>
      <c r="K240" s="421"/>
      <c r="L240" s="421"/>
      <c r="M240" s="421"/>
      <c r="N240" s="412"/>
      <c r="O240" s="412"/>
      <c r="P240" s="412"/>
      <c r="Q240" s="412"/>
      <c r="R240" s="412"/>
      <c r="S240" s="412"/>
      <c r="T240" s="412"/>
      <c r="U240" s="412"/>
      <c r="V240" s="412"/>
      <c r="W240" s="412"/>
      <c r="X240" s="412"/>
      <c r="Y240" s="412"/>
      <c r="Z240" s="412"/>
      <c r="AA240" s="412"/>
      <c r="AB240" s="412"/>
      <c r="AC240" s="412"/>
      <c r="AD240" s="412"/>
      <c r="AE240" s="412"/>
      <c r="AF240" s="412"/>
      <c r="AG240" s="412"/>
      <c r="AH240" s="412"/>
      <c r="AI240" s="387">
        <f t="shared" si="134"/>
        <v>0</v>
      </c>
      <c r="AJ240" s="387">
        <f t="shared" si="135"/>
        <v>0</v>
      </c>
      <c r="AK240" s="387">
        <f t="shared" si="136"/>
        <v>0</v>
      </c>
      <c r="AL240" s="387">
        <f t="shared" si="104"/>
        <v>0</v>
      </c>
      <c r="AM240" s="388">
        <f t="shared" si="105"/>
        <v>0</v>
      </c>
    </row>
    <row r="241" spans="1:39" s="413" customFormat="1" ht="25.5" x14ac:dyDescent="0.2">
      <c r="A241" s="391" t="s">
        <v>662</v>
      </c>
      <c r="B241" s="411"/>
      <c r="C241" s="393">
        <v>200000</v>
      </c>
      <c r="D241" s="393">
        <v>200000</v>
      </c>
      <c r="E241" s="393"/>
      <c r="F241" s="418">
        <v>200000</v>
      </c>
      <c r="G241" s="418">
        <v>0</v>
      </c>
      <c r="H241" s="418">
        <v>0</v>
      </c>
      <c r="I241" s="418">
        <v>0</v>
      </c>
      <c r="J241" s="421"/>
      <c r="K241" s="421"/>
      <c r="L241" s="421"/>
      <c r="M241" s="421"/>
      <c r="N241" s="412"/>
      <c r="O241" s="412"/>
      <c r="P241" s="412"/>
      <c r="Q241" s="412"/>
      <c r="R241" s="412"/>
      <c r="S241" s="412"/>
      <c r="T241" s="412"/>
      <c r="U241" s="412"/>
      <c r="V241" s="412"/>
      <c r="W241" s="412"/>
      <c r="X241" s="412"/>
      <c r="Y241" s="412"/>
      <c r="Z241" s="412"/>
      <c r="AA241" s="412"/>
      <c r="AB241" s="412"/>
      <c r="AC241" s="412"/>
      <c r="AD241" s="412"/>
      <c r="AE241" s="412"/>
      <c r="AF241" s="412"/>
      <c r="AG241" s="412"/>
      <c r="AH241" s="412"/>
      <c r="AI241" s="387">
        <f t="shared" si="134"/>
        <v>200000</v>
      </c>
      <c r="AJ241" s="387">
        <f t="shared" si="135"/>
        <v>200000</v>
      </c>
      <c r="AK241" s="387">
        <f t="shared" si="136"/>
        <v>0</v>
      </c>
      <c r="AL241" s="387">
        <f t="shared" si="104"/>
        <v>200000</v>
      </c>
      <c r="AM241" s="388">
        <f t="shared" si="105"/>
        <v>0</v>
      </c>
    </row>
    <row r="242" spans="1:39" s="419" customFormat="1" ht="25.5" hidden="1" x14ac:dyDescent="0.2">
      <c r="A242" s="391" t="s">
        <v>663</v>
      </c>
      <c r="B242" s="416"/>
      <c r="C242" s="417"/>
      <c r="D242" s="417"/>
      <c r="E242" s="417"/>
      <c r="F242" s="418"/>
      <c r="G242" s="418"/>
      <c r="H242" s="418"/>
      <c r="I242" s="418"/>
      <c r="J242" s="421"/>
      <c r="K242" s="421"/>
      <c r="L242" s="421"/>
      <c r="M242" s="421"/>
      <c r="N242" s="412"/>
      <c r="O242" s="412"/>
      <c r="P242" s="412"/>
      <c r="Q242" s="412"/>
      <c r="R242" s="412"/>
      <c r="S242" s="412"/>
      <c r="T242" s="412"/>
      <c r="U242" s="412"/>
      <c r="V242" s="412"/>
      <c r="W242" s="412"/>
      <c r="X242" s="412"/>
      <c r="Y242" s="412"/>
      <c r="Z242" s="412"/>
      <c r="AA242" s="412"/>
      <c r="AB242" s="412"/>
      <c r="AC242" s="412"/>
      <c r="AD242" s="412"/>
      <c r="AE242" s="412"/>
      <c r="AF242" s="412"/>
      <c r="AG242" s="412"/>
      <c r="AH242" s="412"/>
      <c r="AI242" s="387">
        <f t="shared" si="134"/>
        <v>0</v>
      </c>
      <c r="AJ242" s="387">
        <f t="shared" si="135"/>
        <v>0</v>
      </c>
      <c r="AK242" s="387">
        <f t="shared" si="136"/>
        <v>0</v>
      </c>
      <c r="AL242" s="387">
        <f t="shared" si="104"/>
        <v>0</v>
      </c>
      <c r="AM242" s="388">
        <f t="shared" si="105"/>
        <v>0</v>
      </c>
    </row>
    <row r="243" spans="1:39" s="419" customFormat="1" ht="25.5" hidden="1" x14ac:dyDescent="0.2">
      <c r="A243" s="391" t="s">
        <v>664</v>
      </c>
      <c r="B243" s="416"/>
      <c r="C243" s="417"/>
      <c r="D243" s="417"/>
      <c r="E243" s="417"/>
      <c r="F243" s="418"/>
      <c r="G243" s="418"/>
      <c r="H243" s="418"/>
      <c r="I243" s="418"/>
      <c r="J243" s="421"/>
      <c r="K243" s="421"/>
      <c r="L243" s="421"/>
      <c r="M243" s="421"/>
      <c r="N243" s="412"/>
      <c r="O243" s="412"/>
      <c r="P243" s="412"/>
      <c r="Q243" s="412"/>
      <c r="R243" s="412"/>
      <c r="S243" s="412"/>
      <c r="T243" s="412"/>
      <c r="U243" s="412"/>
      <c r="V243" s="412"/>
      <c r="W243" s="412"/>
      <c r="X243" s="412"/>
      <c r="Y243" s="412"/>
      <c r="Z243" s="412"/>
      <c r="AA243" s="412"/>
      <c r="AB243" s="412"/>
      <c r="AC243" s="412"/>
      <c r="AD243" s="412"/>
      <c r="AE243" s="412"/>
      <c r="AF243" s="412"/>
      <c r="AG243" s="412"/>
      <c r="AH243" s="412"/>
      <c r="AI243" s="387">
        <f t="shared" si="134"/>
        <v>0</v>
      </c>
      <c r="AJ243" s="387">
        <f t="shared" si="135"/>
        <v>0</v>
      </c>
      <c r="AK243" s="387">
        <f t="shared" si="136"/>
        <v>0</v>
      </c>
      <c r="AL243" s="387">
        <f t="shared" si="104"/>
        <v>0</v>
      </c>
      <c r="AM243" s="388">
        <f t="shared" si="105"/>
        <v>0</v>
      </c>
    </row>
    <row r="244" spans="1:39" s="419" customFormat="1" ht="25.5" hidden="1" x14ac:dyDescent="0.2">
      <c r="A244" s="391" t="s">
        <v>665</v>
      </c>
      <c r="B244" s="416"/>
      <c r="C244" s="417"/>
      <c r="D244" s="417"/>
      <c r="E244" s="417"/>
      <c r="F244" s="394"/>
      <c r="G244" s="394"/>
      <c r="H244" s="394"/>
      <c r="I244" s="394"/>
      <c r="J244" s="421"/>
      <c r="K244" s="421"/>
      <c r="L244" s="421"/>
      <c r="M244" s="421"/>
      <c r="N244" s="412"/>
      <c r="O244" s="412"/>
      <c r="P244" s="412"/>
      <c r="Q244" s="412"/>
      <c r="R244" s="412"/>
      <c r="S244" s="412"/>
      <c r="T244" s="412"/>
      <c r="U244" s="412"/>
      <c r="V244" s="412"/>
      <c r="W244" s="412"/>
      <c r="X244" s="412"/>
      <c r="Y244" s="412"/>
      <c r="Z244" s="412"/>
      <c r="AA244" s="412"/>
      <c r="AB244" s="412"/>
      <c r="AC244" s="412"/>
      <c r="AD244" s="412"/>
      <c r="AE244" s="412"/>
      <c r="AF244" s="412"/>
      <c r="AG244" s="412"/>
      <c r="AH244" s="412"/>
      <c r="AI244" s="387">
        <f t="shared" si="134"/>
        <v>0</v>
      </c>
      <c r="AJ244" s="387">
        <f t="shared" si="135"/>
        <v>0</v>
      </c>
      <c r="AK244" s="387">
        <f t="shared" si="136"/>
        <v>0</v>
      </c>
      <c r="AL244" s="387">
        <f t="shared" si="104"/>
        <v>0</v>
      </c>
      <c r="AM244" s="388">
        <f t="shared" si="105"/>
        <v>0</v>
      </c>
    </row>
    <row r="245" spans="1:39" s="437" customFormat="1" ht="51" hidden="1" x14ac:dyDescent="0.25">
      <c r="A245" s="430" t="s">
        <v>666</v>
      </c>
      <c r="B245" s="431"/>
      <c r="C245" s="432"/>
      <c r="D245" s="432"/>
      <c r="E245" s="432"/>
      <c r="F245" s="489"/>
      <c r="G245" s="489"/>
      <c r="H245" s="489"/>
      <c r="I245" s="489"/>
      <c r="J245" s="435"/>
      <c r="K245" s="435"/>
      <c r="L245" s="435"/>
      <c r="M245" s="435"/>
      <c r="N245" s="435"/>
      <c r="O245" s="435"/>
      <c r="P245" s="435"/>
      <c r="Q245" s="435"/>
      <c r="R245" s="443"/>
      <c r="S245" s="443"/>
      <c r="T245" s="443"/>
      <c r="U245" s="443"/>
      <c r="V245" s="443"/>
      <c r="W245" s="443"/>
      <c r="X245" s="443"/>
      <c r="Y245" s="443"/>
      <c r="Z245" s="443"/>
      <c r="AA245" s="443"/>
      <c r="AB245" s="443"/>
      <c r="AC245" s="443"/>
      <c r="AD245" s="443"/>
      <c r="AE245" s="443"/>
      <c r="AF245" s="443"/>
      <c r="AG245" s="443"/>
      <c r="AH245" s="443"/>
      <c r="AI245" s="387">
        <f t="shared" si="134"/>
        <v>0</v>
      </c>
      <c r="AJ245" s="387">
        <f t="shared" si="135"/>
        <v>0</v>
      </c>
      <c r="AK245" s="387">
        <f t="shared" si="136"/>
        <v>0</v>
      </c>
      <c r="AL245" s="387">
        <f t="shared" si="104"/>
        <v>0</v>
      </c>
      <c r="AM245" s="388">
        <f t="shared" si="105"/>
        <v>0</v>
      </c>
    </row>
    <row r="246" spans="1:39" s="492" customFormat="1" ht="51" hidden="1" x14ac:dyDescent="0.2">
      <c r="A246" s="391" t="s">
        <v>667</v>
      </c>
      <c r="B246" s="490"/>
      <c r="C246" s="491"/>
      <c r="D246" s="491"/>
      <c r="E246" s="491"/>
      <c r="F246" s="383"/>
      <c r="G246" s="383"/>
      <c r="H246" s="383"/>
      <c r="I246" s="383"/>
      <c r="J246" s="405"/>
      <c r="K246" s="405"/>
      <c r="L246" s="405"/>
      <c r="M246" s="405"/>
      <c r="N246" s="422"/>
      <c r="O246" s="422"/>
      <c r="P246" s="422"/>
      <c r="Q246" s="422"/>
      <c r="R246" s="422"/>
      <c r="S246" s="422"/>
      <c r="T246" s="422"/>
      <c r="U246" s="422"/>
      <c r="V246" s="422"/>
      <c r="W246" s="422"/>
      <c r="X246" s="422"/>
      <c r="Y246" s="422"/>
      <c r="Z246" s="422"/>
      <c r="AA246" s="422"/>
      <c r="AB246" s="422"/>
      <c r="AC246" s="422"/>
      <c r="AD246" s="422"/>
      <c r="AE246" s="422"/>
      <c r="AF246" s="422"/>
      <c r="AG246" s="422"/>
      <c r="AH246" s="422"/>
      <c r="AI246" s="387">
        <f t="shared" si="134"/>
        <v>0</v>
      </c>
      <c r="AJ246" s="387">
        <f t="shared" si="135"/>
        <v>0</v>
      </c>
      <c r="AK246" s="387">
        <f t="shared" si="136"/>
        <v>0</v>
      </c>
      <c r="AL246" s="387">
        <f t="shared" si="104"/>
        <v>0</v>
      </c>
      <c r="AM246" s="388">
        <f t="shared" si="105"/>
        <v>0</v>
      </c>
    </row>
    <row r="247" spans="1:39" s="400" customFormat="1" ht="38.25" hidden="1" x14ac:dyDescent="0.25">
      <c r="A247" s="1055" t="s">
        <v>1146</v>
      </c>
      <c r="B247" s="431"/>
      <c r="C247" s="432"/>
      <c r="D247" s="432"/>
      <c r="E247" s="432"/>
      <c r="F247" s="489">
        <v>0</v>
      </c>
      <c r="G247" s="489">
        <v>0</v>
      </c>
      <c r="H247" s="489">
        <v>0</v>
      </c>
      <c r="I247" s="489">
        <v>0</v>
      </c>
      <c r="J247" s="1059">
        <v>0</v>
      </c>
      <c r="K247" s="1059"/>
      <c r="L247" s="1059"/>
      <c r="M247" s="1059"/>
      <c r="N247" s="1059">
        <v>0</v>
      </c>
      <c r="O247" s="1059"/>
      <c r="P247" s="1059"/>
      <c r="Q247" s="1059"/>
      <c r="R247" s="1059">
        <v>0</v>
      </c>
      <c r="S247" s="1059"/>
      <c r="T247" s="1059"/>
      <c r="U247" s="1059"/>
      <c r="V247" s="1059">
        <v>0</v>
      </c>
      <c r="W247" s="1059"/>
      <c r="X247" s="1059"/>
      <c r="Y247" s="1059"/>
      <c r="Z247" s="1059">
        <v>0</v>
      </c>
      <c r="AA247" s="1059"/>
      <c r="AB247" s="1059"/>
      <c r="AC247" s="1059"/>
      <c r="AD247" s="1059">
        <v>0</v>
      </c>
      <c r="AE247" s="1059"/>
      <c r="AF247" s="1059"/>
      <c r="AG247" s="1059"/>
      <c r="AH247" s="1059">
        <v>0</v>
      </c>
      <c r="AI247" s="387">
        <f t="shared" si="134"/>
        <v>0</v>
      </c>
      <c r="AJ247" s="387">
        <f t="shared" si="135"/>
        <v>0</v>
      </c>
      <c r="AK247" s="387">
        <f t="shared" si="136"/>
        <v>0</v>
      </c>
      <c r="AL247" s="387">
        <f t="shared" si="104"/>
        <v>0</v>
      </c>
      <c r="AM247" s="388">
        <f t="shared" si="105"/>
        <v>0</v>
      </c>
    </row>
    <row r="248" spans="1:39" s="419" customFormat="1" hidden="1" x14ac:dyDescent="0.2">
      <c r="A248" s="391" t="s">
        <v>668</v>
      </c>
      <c r="B248" s="416"/>
      <c r="C248" s="417"/>
      <c r="D248" s="417"/>
      <c r="E248" s="417"/>
      <c r="F248" s="418"/>
      <c r="G248" s="418"/>
      <c r="H248" s="418"/>
      <c r="I248" s="418"/>
      <c r="J248" s="421"/>
      <c r="K248" s="421"/>
      <c r="L248" s="421"/>
      <c r="M248" s="421"/>
      <c r="N248" s="412"/>
      <c r="O248" s="412"/>
      <c r="P248" s="412"/>
      <c r="Q248" s="412"/>
      <c r="R248" s="412"/>
      <c r="S248" s="412"/>
      <c r="T248" s="412"/>
      <c r="U248" s="412"/>
      <c r="V248" s="412"/>
      <c r="W248" s="412"/>
      <c r="X248" s="412"/>
      <c r="Y248" s="412"/>
      <c r="Z248" s="412"/>
      <c r="AA248" s="412"/>
      <c r="AB248" s="412"/>
      <c r="AC248" s="412"/>
      <c r="AD248" s="412"/>
      <c r="AE248" s="412"/>
      <c r="AF248" s="412"/>
      <c r="AG248" s="412"/>
      <c r="AH248" s="412"/>
      <c r="AI248" s="387">
        <f t="shared" si="134"/>
        <v>0</v>
      </c>
      <c r="AJ248" s="387">
        <f t="shared" si="135"/>
        <v>0</v>
      </c>
      <c r="AK248" s="387">
        <f t="shared" si="136"/>
        <v>0</v>
      </c>
      <c r="AL248" s="387">
        <f t="shared" si="104"/>
        <v>0</v>
      </c>
      <c r="AM248" s="388">
        <f t="shared" si="105"/>
        <v>0</v>
      </c>
    </row>
    <row r="249" spans="1:39" s="419" customFormat="1" ht="29.25" hidden="1" customHeight="1" x14ac:dyDescent="0.2">
      <c r="A249" s="391" t="s">
        <v>669</v>
      </c>
      <c r="B249" s="416"/>
      <c r="C249" s="417"/>
      <c r="D249" s="417"/>
      <c r="E249" s="417"/>
      <c r="F249" s="418"/>
      <c r="G249" s="418"/>
      <c r="H249" s="418"/>
      <c r="I249" s="418"/>
      <c r="J249" s="421"/>
      <c r="K249" s="421"/>
      <c r="L249" s="421"/>
      <c r="M249" s="421"/>
      <c r="N249" s="412"/>
      <c r="O249" s="412"/>
      <c r="P249" s="412"/>
      <c r="Q249" s="412"/>
      <c r="R249" s="412"/>
      <c r="S249" s="412"/>
      <c r="T249" s="412"/>
      <c r="U249" s="412"/>
      <c r="V249" s="412"/>
      <c r="W249" s="412"/>
      <c r="X249" s="412"/>
      <c r="Y249" s="412"/>
      <c r="Z249" s="412"/>
      <c r="AA249" s="412"/>
      <c r="AB249" s="412"/>
      <c r="AC249" s="412"/>
      <c r="AD249" s="412"/>
      <c r="AE249" s="412"/>
      <c r="AF249" s="412"/>
      <c r="AG249" s="412"/>
      <c r="AH249" s="412"/>
      <c r="AI249" s="387">
        <f t="shared" si="134"/>
        <v>0</v>
      </c>
      <c r="AJ249" s="387">
        <f t="shared" si="135"/>
        <v>0</v>
      </c>
      <c r="AK249" s="387">
        <f t="shared" si="136"/>
        <v>0</v>
      </c>
      <c r="AL249" s="387">
        <f t="shared" si="104"/>
        <v>0</v>
      </c>
      <c r="AM249" s="388">
        <f t="shared" si="105"/>
        <v>0</v>
      </c>
    </row>
    <row r="250" spans="1:39" s="419" customFormat="1" hidden="1" x14ac:dyDescent="0.2">
      <c r="A250" s="391" t="s">
        <v>670</v>
      </c>
      <c r="B250" s="416"/>
      <c r="C250" s="417"/>
      <c r="D250" s="417"/>
      <c r="E250" s="417"/>
      <c r="F250" s="418"/>
      <c r="G250" s="418"/>
      <c r="H250" s="418"/>
      <c r="I250" s="418"/>
      <c r="J250" s="421"/>
      <c r="K250" s="421"/>
      <c r="L250" s="421"/>
      <c r="M250" s="421"/>
      <c r="N250" s="412"/>
      <c r="O250" s="412"/>
      <c r="P250" s="412"/>
      <c r="Q250" s="412"/>
      <c r="R250" s="412"/>
      <c r="S250" s="412"/>
      <c r="T250" s="412"/>
      <c r="U250" s="412"/>
      <c r="V250" s="412"/>
      <c r="W250" s="412"/>
      <c r="X250" s="412"/>
      <c r="Y250" s="412"/>
      <c r="Z250" s="412"/>
      <c r="AA250" s="412"/>
      <c r="AB250" s="412"/>
      <c r="AC250" s="412"/>
      <c r="AD250" s="412"/>
      <c r="AE250" s="412"/>
      <c r="AF250" s="412"/>
      <c r="AG250" s="412"/>
      <c r="AH250" s="412"/>
      <c r="AI250" s="387">
        <f t="shared" si="134"/>
        <v>0</v>
      </c>
      <c r="AJ250" s="387">
        <f t="shared" si="135"/>
        <v>0</v>
      </c>
      <c r="AK250" s="387">
        <f t="shared" si="136"/>
        <v>0</v>
      </c>
      <c r="AL250" s="387">
        <f t="shared" si="104"/>
        <v>0</v>
      </c>
      <c r="AM250" s="388">
        <f t="shared" si="105"/>
        <v>0</v>
      </c>
    </row>
    <row r="251" spans="1:39" s="413" customFormat="1" hidden="1" x14ac:dyDescent="0.2">
      <c r="A251" s="391" t="s">
        <v>671</v>
      </c>
      <c r="B251" s="411"/>
      <c r="C251" s="393"/>
      <c r="D251" s="393"/>
      <c r="E251" s="393"/>
      <c r="F251" s="418"/>
      <c r="G251" s="418"/>
      <c r="H251" s="418"/>
      <c r="I251" s="418"/>
      <c r="J251" s="421"/>
      <c r="K251" s="421"/>
      <c r="L251" s="421"/>
      <c r="M251" s="421"/>
      <c r="N251" s="412"/>
      <c r="O251" s="412"/>
      <c r="P251" s="412"/>
      <c r="Q251" s="412"/>
      <c r="R251" s="412"/>
      <c r="S251" s="412"/>
      <c r="T251" s="412"/>
      <c r="U251" s="412"/>
      <c r="V251" s="412"/>
      <c r="W251" s="412"/>
      <c r="X251" s="412"/>
      <c r="Y251" s="412"/>
      <c r="Z251" s="412"/>
      <c r="AA251" s="412"/>
      <c r="AB251" s="412"/>
      <c r="AC251" s="412"/>
      <c r="AD251" s="412"/>
      <c r="AE251" s="412"/>
      <c r="AF251" s="412"/>
      <c r="AG251" s="412"/>
      <c r="AH251" s="412"/>
      <c r="AI251" s="387">
        <f t="shared" si="134"/>
        <v>0</v>
      </c>
      <c r="AJ251" s="387">
        <f t="shared" si="135"/>
        <v>0</v>
      </c>
      <c r="AK251" s="387">
        <f t="shared" si="136"/>
        <v>0</v>
      </c>
      <c r="AL251" s="387">
        <f t="shared" si="104"/>
        <v>0</v>
      </c>
      <c r="AM251" s="388">
        <f t="shared" si="105"/>
        <v>0</v>
      </c>
    </row>
    <row r="252" spans="1:39" s="419" customFormat="1" hidden="1" x14ac:dyDescent="0.2">
      <c r="A252" s="391" t="s">
        <v>672</v>
      </c>
      <c r="B252" s="416"/>
      <c r="C252" s="417"/>
      <c r="D252" s="417"/>
      <c r="E252" s="417"/>
      <c r="F252" s="394"/>
      <c r="G252" s="394"/>
      <c r="H252" s="394"/>
      <c r="I252" s="394"/>
      <c r="J252" s="421"/>
      <c r="K252" s="421"/>
      <c r="L252" s="421"/>
      <c r="M252" s="421"/>
      <c r="N252" s="412"/>
      <c r="O252" s="412"/>
      <c r="P252" s="412"/>
      <c r="Q252" s="412"/>
      <c r="R252" s="412"/>
      <c r="S252" s="412"/>
      <c r="T252" s="412"/>
      <c r="U252" s="412"/>
      <c r="V252" s="412"/>
      <c r="W252" s="412"/>
      <c r="X252" s="412"/>
      <c r="Y252" s="412"/>
      <c r="Z252" s="412"/>
      <c r="AA252" s="412"/>
      <c r="AB252" s="412"/>
      <c r="AC252" s="412"/>
      <c r="AD252" s="412"/>
      <c r="AE252" s="412"/>
      <c r="AF252" s="412"/>
      <c r="AG252" s="412"/>
      <c r="AH252" s="412"/>
      <c r="AI252" s="387">
        <f t="shared" si="134"/>
        <v>0</v>
      </c>
      <c r="AJ252" s="387">
        <f t="shared" si="135"/>
        <v>0</v>
      </c>
      <c r="AK252" s="387">
        <f t="shared" si="136"/>
        <v>0</v>
      </c>
      <c r="AL252" s="387">
        <f t="shared" si="104"/>
        <v>0</v>
      </c>
      <c r="AM252" s="388">
        <f t="shared" si="105"/>
        <v>0</v>
      </c>
    </row>
    <row r="253" spans="1:39" s="419" customFormat="1" ht="25.5" hidden="1" x14ac:dyDescent="0.2">
      <c r="A253" s="391" t="s">
        <v>673</v>
      </c>
      <c r="B253" s="416"/>
      <c r="C253" s="417"/>
      <c r="D253" s="417"/>
      <c r="E253" s="417"/>
      <c r="F253" s="394"/>
      <c r="G253" s="394"/>
      <c r="H253" s="394"/>
      <c r="I253" s="394"/>
      <c r="J253" s="421"/>
      <c r="K253" s="421"/>
      <c r="L253" s="421"/>
      <c r="M253" s="421"/>
      <c r="N253" s="412"/>
      <c r="O253" s="412"/>
      <c r="P253" s="412"/>
      <c r="Q253" s="412"/>
      <c r="R253" s="412"/>
      <c r="S253" s="412"/>
      <c r="T253" s="412"/>
      <c r="U253" s="412"/>
      <c r="V253" s="412"/>
      <c r="W253" s="412"/>
      <c r="X253" s="412"/>
      <c r="Y253" s="412"/>
      <c r="Z253" s="412"/>
      <c r="AA253" s="412"/>
      <c r="AB253" s="412"/>
      <c r="AC253" s="412"/>
      <c r="AD253" s="412"/>
      <c r="AE253" s="412"/>
      <c r="AF253" s="412"/>
      <c r="AG253" s="412"/>
      <c r="AH253" s="412"/>
      <c r="AI253" s="387">
        <f t="shared" si="134"/>
        <v>0</v>
      </c>
      <c r="AJ253" s="387">
        <f t="shared" si="135"/>
        <v>0</v>
      </c>
      <c r="AK253" s="387">
        <f t="shared" si="136"/>
        <v>0</v>
      </c>
      <c r="AL253" s="387">
        <f t="shared" si="104"/>
        <v>0</v>
      </c>
      <c r="AM253" s="388">
        <f t="shared" si="105"/>
        <v>0</v>
      </c>
    </row>
    <row r="254" spans="1:39" s="419" customFormat="1" ht="38.25" hidden="1" x14ac:dyDescent="0.2">
      <c r="A254" s="391" t="s">
        <v>674</v>
      </c>
      <c r="B254" s="416"/>
      <c r="C254" s="417"/>
      <c r="D254" s="417"/>
      <c r="E254" s="417"/>
      <c r="F254" s="394"/>
      <c r="G254" s="394"/>
      <c r="H254" s="394"/>
      <c r="I254" s="394"/>
      <c r="J254" s="421"/>
      <c r="K254" s="421"/>
      <c r="L254" s="421"/>
      <c r="M254" s="421"/>
      <c r="N254" s="412"/>
      <c r="O254" s="412"/>
      <c r="P254" s="412"/>
      <c r="Q254" s="412"/>
      <c r="R254" s="412"/>
      <c r="S254" s="412"/>
      <c r="T254" s="412"/>
      <c r="U254" s="412"/>
      <c r="V254" s="412"/>
      <c r="W254" s="412"/>
      <c r="X254" s="412"/>
      <c r="Y254" s="412"/>
      <c r="Z254" s="412"/>
      <c r="AA254" s="412"/>
      <c r="AB254" s="412"/>
      <c r="AC254" s="412"/>
      <c r="AD254" s="412"/>
      <c r="AE254" s="412"/>
      <c r="AF254" s="412"/>
      <c r="AG254" s="412"/>
      <c r="AH254" s="412"/>
      <c r="AI254" s="387">
        <f t="shared" si="134"/>
        <v>0</v>
      </c>
      <c r="AJ254" s="387">
        <f t="shared" si="135"/>
        <v>0</v>
      </c>
      <c r="AK254" s="387">
        <f t="shared" si="136"/>
        <v>0</v>
      </c>
      <c r="AL254" s="387">
        <f t="shared" si="104"/>
        <v>0</v>
      </c>
      <c r="AM254" s="388">
        <f t="shared" si="105"/>
        <v>0</v>
      </c>
    </row>
    <row r="255" spans="1:39" s="419" customFormat="1" hidden="1" x14ac:dyDescent="0.2">
      <c r="A255" s="391" t="s">
        <v>675</v>
      </c>
      <c r="B255" s="416"/>
      <c r="C255" s="417"/>
      <c r="D255" s="417"/>
      <c r="E255" s="417"/>
      <c r="F255" s="418"/>
      <c r="G255" s="418"/>
      <c r="H255" s="418"/>
      <c r="I255" s="418"/>
      <c r="J255" s="421"/>
      <c r="K255" s="421"/>
      <c r="L255" s="421"/>
      <c r="M255" s="421"/>
      <c r="N255" s="412"/>
      <c r="O255" s="412"/>
      <c r="P255" s="412"/>
      <c r="Q255" s="412"/>
      <c r="R255" s="412"/>
      <c r="S255" s="412"/>
      <c r="T255" s="412"/>
      <c r="U255" s="412"/>
      <c r="V255" s="412"/>
      <c r="W255" s="412"/>
      <c r="X255" s="412"/>
      <c r="Y255" s="412"/>
      <c r="Z255" s="412"/>
      <c r="AA255" s="412"/>
      <c r="AB255" s="412"/>
      <c r="AC255" s="412"/>
      <c r="AD255" s="412"/>
      <c r="AE255" s="412"/>
      <c r="AF255" s="412"/>
      <c r="AG255" s="412"/>
      <c r="AH255" s="412"/>
      <c r="AI255" s="387">
        <f t="shared" si="134"/>
        <v>0</v>
      </c>
      <c r="AJ255" s="387">
        <f t="shared" si="135"/>
        <v>0</v>
      </c>
      <c r="AK255" s="387">
        <f t="shared" si="136"/>
        <v>0</v>
      </c>
      <c r="AL255" s="387">
        <f t="shared" si="104"/>
        <v>0</v>
      </c>
      <c r="AM255" s="388">
        <f t="shared" si="105"/>
        <v>0</v>
      </c>
    </row>
    <row r="256" spans="1:39" s="419" customFormat="1" hidden="1" x14ac:dyDescent="0.2">
      <c r="A256" s="391" t="s">
        <v>676</v>
      </c>
      <c r="B256" s="416"/>
      <c r="C256" s="417"/>
      <c r="D256" s="417"/>
      <c r="E256" s="417"/>
      <c r="F256" s="418"/>
      <c r="G256" s="418"/>
      <c r="H256" s="418"/>
      <c r="I256" s="418"/>
      <c r="J256" s="421"/>
      <c r="K256" s="421"/>
      <c r="L256" s="421"/>
      <c r="M256" s="421"/>
      <c r="N256" s="412"/>
      <c r="O256" s="412"/>
      <c r="P256" s="412"/>
      <c r="Q256" s="412"/>
      <c r="R256" s="412"/>
      <c r="S256" s="412"/>
      <c r="T256" s="412"/>
      <c r="U256" s="412"/>
      <c r="V256" s="412"/>
      <c r="W256" s="412"/>
      <c r="X256" s="412"/>
      <c r="Y256" s="412"/>
      <c r="Z256" s="412"/>
      <c r="AA256" s="412"/>
      <c r="AB256" s="412"/>
      <c r="AC256" s="412"/>
      <c r="AD256" s="412"/>
      <c r="AE256" s="412"/>
      <c r="AF256" s="412"/>
      <c r="AG256" s="412"/>
      <c r="AH256" s="412"/>
      <c r="AI256" s="387">
        <f t="shared" si="134"/>
        <v>0</v>
      </c>
      <c r="AJ256" s="387">
        <f t="shared" si="135"/>
        <v>0</v>
      </c>
      <c r="AK256" s="387">
        <f t="shared" si="136"/>
        <v>0</v>
      </c>
      <c r="AL256" s="387">
        <f t="shared" si="104"/>
        <v>0</v>
      </c>
      <c r="AM256" s="388">
        <f t="shared" si="105"/>
        <v>0</v>
      </c>
    </row>
    <row r="257" spans="1:39" s="419" customFormat="1" ht="25.5" hidden="1" x14ac:dyDescent="0.2">
      <c r="A257" s="391" t="s">
        <v>677</v>
      </c>
      <c r="B257" s="416"/>
      <c r="C257" s="417"/>
      <c r="D257" s="417"/>
      <c r="E257" s="417"/>
      <c r="F257" s="418"/>
      <c r="G257" s="418"/>
      <c r="H257" s="418"/>
      <c r="I257" s="418"/>
      <c r="J257" s="421"/>
      <c r="K257" s="421"/>
      <c r="L257" s="421"/>
      <c r="M257" s="421"/>
      <c r="N257" s="412"/>
      <c r="O257" s="412"/>
      <c r="P257" s="412"/>
      <c r="Q257" s="412"/>
      <c r="R257" s="412"/>
      <c r="S257" s="412"/>
      <c r="T257" s="412"/>
      <c r="U257" s="412"/>
      <c r="V257" s="412"/>
      <c r="W257" s="412"/>
      <c r="X257" s="412"/>
      <c r="Y257" s="412"/>
      <c r="Z257" s="412"/>
      <c r="AA257" s="412"/>
      <c r="AB257" s="412"/>
      <c r="AC257" s="412"/>
      <c r="AD257" s="412"/>
      <c r="AE257" s="412"/>
      <c r="AF257" s="412"/>
      <c r="AG257" s="412"/>
      <c r="AH257" s="412"/>
      <c r="AI257" s="387">
        <f t="shared" si="134"/>
        <v>0</v>
      </c>
      <c r="AJ257" s="387">
        <f t="shared" si="135"/>
        <v>0</v>
      </c>
      <c r="AK257" s="387">
        <f t="shared" si="136"/>
        <v>0</v>
      </c>
      <c r="AL257" s="387">
        <f t="shared" si="104"/>
        <v>0</v>
      </c>
      <c r="AM257" s="388">
        <f t="shared" si="105"/>
        <v>0</v>
      </c>
    </row>
    <row r="258" spans="1:39" s="419" customFormat="1" hidden="1" x14ac:dyDescent="0.2">
      <c r="A258" s="391" t="s">
        <v>678</v>
      </c>
      <c r="B258" s="416"/>
      <c r="C258" s="417"/>
      <c r="D258" s="417"/>
      <c r="E258" s="417"/>
      <c r="F258" s="418"/>
      <c r="G258" s="418"/>
      <c r="H258" s="418"/>
      <c r="I258" s="418"/>
      <c r="J258" s="421"/>
      <c r="K258" s="421"/>
      <c r="L258" s="421"/>
      <c r="M258" s="421"/>
      <c r="N258" s="412"/>
      <c r="O258" s="412"/>
      <c r="P258" s="412"/>
      <c r="Q258" s="412"/>
      <c r="R258" s="412"/>
      <c r="S258" s="412"/>
      <c r="T258" s="412"/>
      <c r="U258" s="412"/>
      <c r="V258" s="412"/>
      <c r="W258" s="412"/>
      <c r="X258" s="412"/>
      <c r="Y258" s="412"/>
      <c r="Z258" s="412"/>
      <c r="AA258" s="412"/>
      <c r="AB258" s="412"/>
      <c r="AC258" s="412"/>
      <c r="AD258" s="412"/>
      <c r="AE258" s="412"/>
      <c r="AF258" s="412"/>
      <c r="AG258" s="412"/>
      <c r="AH258" s="412"/>
      <c r="AI258" s="387">
        <f t="shared" si="134"/>
        <v>0</v>
      </c>
      <c r="AJ258" s="387">
        <f t="shared" si="135"/>
        <v>0</v>
      </c>
      <c r="AK258" s="387">
        <f t="shared" si="136"/>
        <v>0</v>
      </c>
      <c r="AL258" s="387">
        <f t="shared" ref="AL258:AL315" si="137">F258+J258+N258+R258+V258+Z258+AD258+AH258</f>
        <v>0</v>
      </c>
      <c r="AM258" s="388">
        <f t="shared" ref="AM258:AM315" si="138">J258+N258+R258+V258+Z258+AD258+AH258</f>
        <v>0</v>
      </c>
    </row>
    <row r="259" spans="1:39" s="444" customFormat="1" hidden="1" x14ac:dyDescent="0.2">
      <c r="A259" s="430" t="s">
        <v>679</v>
      </c>
      <c r="B259" s="431"/>
      <c r="C259" s="432"/>
      <c r="D259" s="432"/>
      <c r="E259" s="432"/>
      <c r="F259" s="489"/>
      <c r="G259" s="489"/>
      <c r="H259" s="489"/>
      <c r="I259" s="489"/>
      <c r="J259" s="435"/>
      <c r="K259" s="435"/>
      <c r="L259" s="435"/>
      <c r="M259" s="435"/>
      <c r="N259" s="435"/>
      <c r="O259" s="435"/>
      <c r="P259" s="435"/>
      <c r="Q259" s="435"/>
      <c r="R259" s="436"/>
      <c r="S259" s="436"/>
      <c r="T259" s="436"/>
      <c r="U259" s="436"/>
      <c r="V259" s="436"/>
      <c r="W259" s="436"/>
      <c r="X259" s="436"/>
      <c r="Y259" s="436"/>
      <c r="Z259" s="436"/>
      <c r="AA259" s="436"/>
      <c r="AB259" s="436"/>
      <c r="AC259" s="436"/>
      <c r="AD259" s="436"/>
      <c r="AE259" s="436"/>
      <c r="AF259" s="436"/>
      <c r="AG259" s="436"/>
      <c r="AH259" s="436"/>
      <c r="AI259" s="387">
        <f t="shared" si="134"/>
        <v>0</v>
      </c>
      <c r="AJ259" s="387">
        <f t="shared" si="135"/>
        <v>0</v>
      </c>
      <c r="AK259" s="387">
        <f t="shared" si="136"/>
        <v>0</v>
      </c>
      <c r="AL259" s="387">
        <f t="shared" si="137"/>
        <v>0</v>
      </c>
      <c r="AM259" s="388">
        <f t="shared" si="138"/>
        <v>0</v>
      </c>
    </row>
    <row r="260" spans="1:39" s="444" customFormat="1" ht="25.5" hidden="1" x14ac:dyDescent="0.2">
      <c r="A260" s="430" t="s">
        <v>680</v>
      </c>
      <c r="B260" s="431"/>
      <c r="C260" s="432"/>
      <c r="D260" s="432"/>
      <c r="E260" s="432"/>
      <c r="F260" s="489"/>
      <c r="G260" s="489"/>
      <c r="H260" s="489"/>
      <c r="I260" s="489"/>
      <c r="J260" s="493"/>
      <c r="K260" s="493"/>
      <c r="L260" s="493"/>
      <c r="M260" s="493"/>
      <c r="N260" s="436"/>
      <c r="O260" s="436"/>
      <c r="P260" s="436"/>
      <c r="Q260" s="436"/>
      <c r="R260" s="436"/>
      <c r="S260" s="436"/>
      <c r="T260" s="436"/>
      <c r="U260" s="436"/>
      <c r="V260" s="436"/>
      <c r="W260" s="436"/>
      <c r="X260" s="436"/>
      <c r="Y260" s="436"/>
      <c r="Z260" s="436"/>
      <c r="AA260" s="436"/>
      <c r="AB260" s="436"/>
      <c r="AC260" s="436"/>
      <c r="AD260" s="436"/>
      <c r="AE260" s="436"/>
      <c r="AF260" s="436"/>
      <c r="AG260" s="436"/>
      <c r="AH260" s="436"/>
      <c r="AI260" s="387">
        <f t="shared" si="134"/>
        <v>0</v>
      </c>
      <c r="AJ260" s="387">
        <f t="shared" si="135"/>
        <v>0</v>
      </c>
      <c r="AK260" s="387">
        <f t="shared" si="136"/>
        <v>0</v>
      </c>
      <c r="AL260" s="387">
        <f t="shared" si="137"/>
        <v>0</v>
      </c>
      <c r="AM260" s="388">
        <f t="shared" si="138"/>
        <v>0</v>
      </c>
    </row>
    <row r="261" spans="1:39" s="400" customFormat="1" ht="25.5" x14ac:dyDescent="0.25">
      <c r="A261" s="1055" t="s">
        <v>1147</v>
      </c>
      <c r="B261" s="431"/>
      <c r="C261" s="432">
        <f>+C264+C265+C266</f>
        <v>19792</v>
      </c>
      <c r="D261" s="432">
        <f>+D264+D265+D266</f>
        <v>19792</v>
      </c>
      <c r="E261" s="432">
        <v>88746.437999999995</v>
      </c>
      <c r="F261" s="440">
        <f>+F265</f>
        <v>19792.255000000001</v>
      </c>
      <c r="G261" s="440">
        <v>0</v>
      </c>
      <c r="H261" s="440">
        <v>0</v>
      </c>
      <c r="I261" s="440">
        <v>0</v>
      </c>
      <c r="J261" s="1058">
        <v>0</v>
      </c>
      <c r="K261" s="1058"/>
      <c r="L261" s="1058"/>
      <c r="M261" s="1058"/>
      <c r="N261" s="1058">
        <v>0</v>
      </c>
      <c r="O261" s="1058"/>
      <c r="P261" s="1058"/>
      <c r="Q261" s="1058"/>
      <c r="R261" s="1058">
        <v>0</v>
      </c>
      <c r="S261" s="1058"/>
      <c r="T261" s="1058"/>
      <c r="U261" s="1058"/>
      <c r="V261" s="1058">
        <v>0</v>
      </c>
      <c r="W261" s="1058"/>
      <c r="X261" s="1058"/>
      <c r="Y261" s="1058"/>
      <c r="Z261" s="1058">
        <v>0</v>
      </c>
      <c r="AA261" s="1058"/>
      <c r="AB261" s="1058"/>
      <c r="AC261" s="1058"/>
      <c r="AD261" s="1058">
        <v>0</v>
      </c>
      <c r="AE261" s="1058"/>
      <c r="AF261" s="1058"/>
      <c r="AG261" s="1058"/>
      <c r="AH261" s="1058">
        <v>0</v>
      </c>
      <c r="AI261" s="387">
        <f t="shared" si="134"/>
        <v>19792</v>
      </c>
      <c r="AJ261" s="387">
        <f t="shared" si="135"/>
        <v>19792</v>
      </c>
      <c r="AK261" s="387">
        <f t="shared" si="136"/>
        <v>88746.437999999995</v>
      </c>
      <c r="AL261" s="387">
        <f t="shared" si="137"/>
        <v>19792.255000000001</v>
      </c>
      <c r="AM261" s="388">
        <f t="shared" si="138"/>
        <v>0</v>
      </c>
    </row>
    <row r="262" spans="1:39" s="413" customFormat="1" hidden="1" x14ac:dyDescent="0.2">
      <c r="A262" s="391" t="s">
        <v>681</v>
      </c>
      <c r="B262" s="411"/>
      <c r="C262" s="393"/>
      <c r="D262" s="393">
        <v>304</v>
      </c>
      <c r="E262" s="393"/>
      <c r="F262" s="418"/>
      <c r="G262" s="418"/>
      <c r="H262" s="418"/>
      <c r="I262" s="418"/>
      <c r="J262" s="421"/>
      <c r="K262" s="421"/>
      <c r="L262" s="421"/>
      <c r="M262" s="421"/>
      <c r="N262" s="412"/>
      <c r="O262" s="412"/>
      <c r="P262" s="412"/>
      <c r="Q262" s="412"/>
      <c r="R262" s="412"/>
      <c r="S262" s="412"/>
      <c r="T262" s="412"/>
      <c r="U262" s="412"/>
      <c r="V262" s="412"/>
      <c r="W262" s="412"/>
      <c r="X262" s="412"/>
      <c r="Y262" s="412"/>
      <c r="Z262" s="412"/>
      <c r="AA262" s="412"/>
      <c r="AB262" s="412"/>
      <c r="AC262" s="412"/>
      <c r="AD262" s="412"/>
      <c r="AE262" s="412"/>
      <c r="AF262" s="412"/>
      <c r="AG262" s="412"/>
      <c r="AH262" s="412"/>
      <c r="AI262" s="387">
        <f t="shared" si="134"/>
        <v>0</v>
      </c>
      <c r="AJ262" s="387">
        <f t="shared" si="135"/>
        <v>304</v>
      </c>
      <c r="AK262" s="387">
        <f t="shared" si="136"/>
        <v>0</v>
      </c>
      <c r="AL262" s="387">
        <f t="shared" si="137"/>
        <v>0</v>
      </c>
      <c r="AM262" s="388">
        <f t="shared" si="138"/>
        <v>0</v>
      </c>
    </row>
    <row r="263" spans="1:39" s="413" customFormat="1" ht="27.75" hidden="1" customHeight="1" x14ac:dyDescent="0.2">
      <c r="A263" s="391" t="s">
        <v>682</v>
      </c>
      <c r="B263" s="411"/>
      <c r="C263" s="393">
        <v>8000</v>
      </c>
      <c r="D263" s="393">
        <v>8000</v>
      </c>
      <c r="E263" s="393"/>
      <c r="F263" s="418"/>
      <c r="G263" s="418"/>
      <c r="H263" s="418"/>
      <c r="I263" s="418"/>
      <c r="J263" s="421"/>
      <c r="K263" s="421"/>
      <c r="L263" s="421"/>
      <c r="M263" s="421"/>
      <c r="N263" s="412"/>
      <c r="O263" s="412"/>
      <c r="P263" s="412"/>
      <c r="Q263" s="412"/>
      <c r="R263" s="412"/>
      <c r="S263" s="412"/>
      <c r="T263" s="412"/>
      <c r="U263" s="412"/>
      <c r="V263" s="412"/>
      <c r="W263" s="412"/>
      <c r="X263" s="412"/>
      <c r="Y263" s="412"/>
      <c r="Z263" s="412"/>
      <c r="AA263" s="412"/>
      <c r="AB263" s="412"/>
      <c r="AC263" s="412"/>
      <c r="AD263" s="412"/>
      <c r="AE263" s="412"/>
      <c r="AF263" s="412"/>
      <c r="AG263" s="412"/>
      <c r="AH263" s="412"/>
      <c r="AI263" s="387">
        <f t="shared" si="134"/>
        <v>8000</v>
      </c>
      <c r="AJ263" s="387">
        <f t="shared" si="135"/>
        <v>8000</v>
      </c>
      <c r="AK263" s="387">
        <f t="shared" si="136"/>
        <v>0</v>
      </c>
      <c r="AL263" s="387">
        <f t="shared" si="137"/>
        <v>0</v>
      </c>
      <c r="AM263" s="388">
        <f t="shared" si="138"/>
        <v>0</v>
      </c>
    </row>
    <row r="264" spans="1:39" s="413" customFormat="1" x14ac:dyDescent="0.2">
      <c r="A264" s="391" t="s">
        <v>683</v>
      </c>
      <c r="B264" s="411"/>
      <c r="C264" s="393"/>
      <c r="D264" s="393"/>
      <c r="E264" s="393"/>
      <c r="F264" s="418"/>
      <c r="G264" s="418"/>
      <c r="H264" s="418"/>
      <c r="I264" s="418"/>
      <c r="J264" s="421"/>
      <c r="K264" s="421"/>
      <c r="L264" s="421"/>
      <c r="M264" s="421"/>
      <c r="N264" s="412"/>
      <c r="O264" s="412"/>
      <c r="P264" s="412"/>
      <c r="Q264" s="412"/>
      <c r="R264" s="412"/>
      <c r="S264" s="412"/>
      <c r="T264" s="412"/>
      <c r="U264" s="412"/>
      <c r="V264" s="412"/>
      <c r="W264" s="412"/>
      <c r="X264" s="412"/>
      <c r="Y264" s="412"/>
      <c r="Z264" s="412"/>
      <c r="AA264" s="412"/>
      <c r="AB264" s="412"/>
      <c r="AC264" s="412"/>
      <c r="AD264" s="412"/>
      <c r="AE264" s="412"/>
      <c r="AF264" s="412"/>
      <c r="AG264" s="412"/>
      <c r="AH264" s="412"/>
      <c r="AI264" s="387">
        <f t="shared" si="134"/>
        <v>0</v>
      </c>
      <c r="AJ264" s="387">
        <f t="shared" si="135"/>
        <v>0</v>
      </c>
      <c r="AK264" s="387">
        <f t="shared" si="136"/>
        <v>0</v>
      </c>
      <c r="AL264" s="387">
        <f t="shared" si="137"/>
        <v>0</v>
      </c>
      <c r="AM264" s="388">
        <f t="shared" si="138"/>
        <v>0</v>
      </c>
    </row>
    <row r="265" spans="1:39" s="413" customFormat="1" x14ac:dyDescent="0.2">
      <c r="A265" s="391" t="s">
        <v>684</v>
      </c>
      <c r="B265" s="411"/>
      <c r="C265" s="393">
        <v>19792</v>
      </c>
      <c r="D265" s="393">
        <f>19792</f>
        <v>19792</v>
      </c>
      <c r="E265" s="393">
        <v>88746.437999999995</v>
      </c>
      <c r="F265" s="418">
        <f>1+19791.255</f>
        <v>19792.255000000001</v>
      </c>
      <c r="G265" s="418"/>
      <c r="H265" s="418"/>
      <c r="I265" s="418"/>
      <c r="J265" s="421"/>
      <c r="K265" s="421"/>
      <c r="L265" s="421"/>
      <c r="M265" s="421"/>
      <c r="N265" s="412"/>
      <c r="O265" s="412"/>
      <c r="P265" s="412"/>
      <c r="Q265" s="412"/>
      <c r="R265" s="412"/>
      <c r="S265" s="412"/>
      <c r="T265" s="412"/>
      <c r="U265" s="412"/>
      <c r="V265" s="412"/>
      <c r="W265" s="412"/>
      <c r="X265" s="412"/>
      <c r="Y265" s="412"/>
      <c r="Z265" s="412"/>
      <c r="AA265" s="412"/>
      <c r="AB265" s="412"/>
      <c r="AC265" s="412"/>
      <c r="AD265" s="412"/>
      <c r="AE265" s="412"/>
      <c r="AF265" s="412"/>
      <c r="AG265" s="412"/>
      <c r="AH265" s="412"/>
      <c r="AI265" s="387">
        <f t="shared" si="134"/>
        <v>19792</v>
      </c>
      <c r="AJ265" s="387">
        <f t="shared" si="135"/>
        <v>19792</v>
      </c>
      <c r="AK265" s="387">
        <f t="shared" si="136"/>
        <v>88746.437999999995</v>
      </c>
      <c r="AL265" s="387">
        <f t="shared" si="137"/>
        <v>19792.255000000001</v>
      </c>
      <c r="AM265" s="388">
        <f t="shared" si="138"/>
        <v>0</v>
      </c>
    </row>
    <row r="266" spans="1:39" s="419" customFormat="1" x14ac:dyDescent="0.2">
      <c r="A266" s="391" t="s">
        <v>685</v>
      </c>
      <c r="B266" s="416"/>
      <c r="C266" s="417"/>
      <c r="D266" s="417"/>
      <c r="E266" s="417"/>
      <c r="F266" s="394"/>
      <c r="G266" s="394"/>
      <c r="H266" s="394"/>
      <c r="I266" s="394"/>
      <c r="J266" s="421"/>
      <c r="K266" s="421"/>
      <c r="L266" s="421"/>
      <c r="M266" s="421"/>
      <c r="N266" s="412"/>
      <c r="O266" s="412"/>
      <c r="P266" s="412"/>
      <c r="Q266" s="412"/>
      <c r="R266" s="412"/>
      <c r="S266" s="412"/>
      <c r="T266" s="412"/>
      <c r="U266" s="412"/>
      <c r="V266" s="412"/>
      <c r="W266" s="412"/>
      <c r="X266" s="412"/>
      <c r="Y266" s="412"/>
      <c r="Z266" s="412"/>
      <c r="AA266" s="412"/>
      <c r="AB266" s="412"/>
      <c r="AC266" s="412"/>
      <c r="AD266" s="412"/>
      <c r="AE266" s="412"/>
      <c r="AF266" s="412"/>
      <c r="AG266" s="412"/>
      <c r="AH266" s="412"/>
      <c r="AI266" s="387">
        <f t="shared" si="134"/>
        <v>0</v>
      </c>
      <c r="AJ266" s="387">
        <f t="shared" si="135"/>
        <v>0</v>
      </c>
      <c r="AK266" s="387">
        <f t="shared" si="136"/>
        <v>0</v>
      </c>
      <c r="AL266" s="387">
        <f t="shared" si="137"/>
        <v>0</v>
      </c>
      <c r="AM266" s="388">
        <f t="shared" si="138"/>
        <v>0</v>
      </c>
    </row>
    <row r="267" spans="1:39" s="419" customFormat="1" ht="25.5" hidden="1" x14ac:dyDescent="0.2">
      <c r="A267" s="391" t="s">
        <v>686</v>
      </c>
      <c r="B267" s="416"/>
      <c r="C267" s="417"/>
      <c r="D267" s="417"/>
      <c r="E267" s="417"/>
      <c r="F267" s="394"/>
      <c r="G267" s="394"/>
      <c r="H267" s="394"/>
      <c r="I267" s="394"/>
      <c r="J267" s="421"/>
      <c r="K267" s="421"/>
      <c r="L267" s="421"/>
      <c r="M267" s="421"/>
      <c r="N267" s="412"/>
      <c r="O267" s="412"/>
      <c r="P267" s="412"/>
      <c r="Q267" s="412"/>
      <c r="R267" s="412"/>
      <c r="S267" s="412"/>
      <c r="T267" s="412"/>
      <c r="U267" s="412"/>
      <c r="V267" s="412"/>
      <c r="W267" s="412"/>
      <c r="X267" s="412"/>
      <c r="Y267" s="412"/>
      <c r="Z267" s="412"/>
      <c r="AA267" s="412"/>
      <c r="AB267" s="412"/>
      <c r="AC267" s="412"/>
      <c r="AD267" s="412"/>
      <c r="AE267" s="412"/>
      <c r="AF267" s="412"/>
      <c r="AG267" s="412"/>
      <c r="AH267" s="412"/>
      <c r="AI267" s="387">
        <f t="shared" si="134"/>
        <v>0</v>
      </c>
      <c r="AJ267" s="387">
        <f t="shared" si="135"/>
        <v>0</v>
      </c>
      <c r="AK267" s="387">
        <f t="shared" si="136"/>
        <v>0</v>
      </c>
      <c r="AL267" s="387">
        <f t="shared" si="137"/>
        <v>0</v>
      </c>
      <c r="AM267" s="388">
        <f t="shared" si="138"/>
        <v>0</v>
      </c>
    </row>
    <row r="268" spans="1:39" s="419" customFormat="1" ht="38.25" hidden="1" x14ac:dyDescent="0.2">
      <c r="A268" s="391" t="s">
        <v>687</v>
      </c>
      <c r="B268" s="416"/>
      <c r="C268" s="417"/>
      <c r="D268" s="417"/>
      <c r="E268" s="417"/>
      <c r="F268" s="394"/>
      <c r="G268" s="394"/>
      <c r="H268" s="394"/>
      <c r="I268" s="394"/>
      <c r="J268" s="421"/>
      <c r="K268" s="421"/>
      <c r="L268" s="421"/>
      <c r="M268" s="421"/>
      <c r="N268" s="412"/>
      <c r="O268" s="412"/>
      <c r="P268" s="412"/>
      <c r="Q268" s="412"/>
      <c r="R268" s="412"/>
      <c r="S268" s="412"/>
      <c r="T268" s="412"/>
      <c r="U268" s="412"/>
      <c r="V268" s="412"/>
      <c r="W268" s="412"/>
      <c r="X268" s="412"/>
      <c r="Y268" s="412"/>
      <c r="Z268" s="412"/>
      <c r="AA268" s="412"/>
      <c r="AB268" s="412"/>
      <c r="AC268" s="412"/>
      <c r="AD268" s="412"/>
      <c r="AE268" s="412"/>
      <c r="AF268" s="412"/>
      <c r="AG268" s="412"/>
      <c r="AH268" s="412"/>
      <c r="AI268" s="387">
        <f t="shared" si="134"/>
        <v>0</v>
      </c>
      <c r="AJ268" s="387">
        <f t="shared" si="135"/>
        <v>0</v>
      </c>
      <c r="AK268" s="387">
        <f t="shared" si="136"/>
        <v>0</v>
      </c>
      <c r="AL268" s="387">
        <f t="shared" si="137"/>
        <v>0</v>
      </c>
      <c r="AM268" s="388">
        <f t="shared" si="138"/>
        <v>0</v>
      </c>
    </row>
    <row r="269" spans="1:39" s="419" customFormat="1" hidden="1" x14ac:dyDescent="0.2">
      <c r="A269" s="391" t="s">
        <v>688</v>
      </c>
      <c r="B269" s="416"/>
      <c r="C269" s="417"/>
      <c r="D269" s="417"/>
      <c r="E269" s="417"/>
      <c r="F269" s="418"/>
      <c r="G269" s="418"/>
      <c r="H269" s="418"/>
      <c r="I269" s="418"/>
      <c r="J269" s="421"/>
      <c r="K269" s="421"/>
      <c r="L269" s="421"/>
      <c r="M269" s="421"/>
      <c r="N269" s="412"/>
      <c r="O269" s="412"/>
      <c r="P269" s="412"/>
      <c r="Q269" s="412"/>
      <c r="R269" s="412"/>
      <c r="S269" s="412"/>
      <c r="T269" s="412"/>
      <c r="U269" s="412"/>
      <c r="V269" s="412"/>
      <c r="W269" s="412"/>
      <c r="X269" s="412"/>
      <c r="Y269" s="412"/>
      <c r="Z269" s="412"/>
      <c r="AA269" s="412"/>
      <c r="AB269" s="412"/>
      <c r="AC269" s="412"/>
      <c r="AD269" s="412"/>
      <c r="AE269" s="412"/>
      <c r="AF269" s="412"/>
      <c r="AG269" s="412"/>
      <c r="AH269" s="412"/>
      <c r="AI269" s="387">
        <f t="shared" si="134"/>
        <v>0</v>
      </c>
      <c r="AJ269" s="387">
        <f t="shared" si="135"/>
        <v>0</v>
      </c>
      <c r="AK269" s="387">
        <f t="shared" si="136"/>
        <v>0</v>
      </c>
      <c r="AL269" s="387">
        <f t="shared" si="137"/>
        <v>0</v>
      </c>
      <c r="AM269" s="388">
        <f t="shared" si="138"/>
        <v>0</v>
      </c>
    </row>
    <row r="270" spans="1:39" s="419" customFormat="1" ht="25.5" hidden="1" x14ac:dyDescent="0.2">
      <c r="A270" s="391" t="s">
        <v>689</v>
      </c>
      <c r="B270" s="416"/>
      <c r="C270" s="417"/>
      <c r="D270" s="417"/>
      <c r="E270" s="417"/>
      <c r="F270" s="418"/>
      <c r="G270" s="418"/>
      <c r="H270" s="418"/>
      <c r="I270" s="418"/>
      <c r="J270" s="446"/>
      <c r="K270" s="446"/>
      <c r="L270" s="446"/>
      <c r="M270" s="446"/>
      <c r="N270" s="446"/>
      <c r="O270" s="446"/>
      <c r="P270" s="446"/>
      <c r="Q270" s="446"/>
      <c r="R270" s="412"/>
      <c r="S270" s="412"/>
      <c r="T270" s="412"/>
      <c r="U270" s="412"/>
      <c r="V270" s="412"/>
      <c r="W270" s="412"/>
      <c r="X270" s="412"/>
      <c r="Y270" s="412"/>
      <c r="Z270" s="412"/>
      <c r="AA270" s="412"/>
      <c r="AB270" s="412"/>
      <c r="AC270" s="412"/>
      <c r="AD270" s="412"/>
      <c r="AE270" s="412"/>
      <c r="AF270" s="412"/>
      <c r="AG270" s="412"/>
      <c r="AH270" s="412"/>
      <c r="AI270" s="387">
        <f t="shared" si="134"/>
        <v>0</v>
      </c>
      <c r="AJ270" s="387">
        <f t="shared" si="135"/>
        <v>0</v>
      </c>
      <c r="AK270" s="387">
        <f t="shared" si="136"/>
        <v>0</v>
      </c>
      <c r="AL270" s="387">
        <f t="shared" si="137"/>
        <v>0</v>
      </c>
      <c r="AM270" s="388">
        <f t="shared" si="138"/>
        <v>0</v>
      </c>
    </row>
    <row r="271" spans="1:39" s="419" customFormat="1" hidden="1" x14ac:dyDescent="0.2">
      <c r="A271" s="391" t="s">
        <v>690</v>
      </c>
      <c r="B271" s="416"/>
      <c r="C271" s="417"/>
      <c r="D271" s="417"/>
      <c r="E271" s="417"/>
      <c r="F271" s="418"/>
      <c r="G271" s="418"/>
      <c r="H271" s="418"/>
      <c r="I271" s="418"/>
      <c r="J271" s="446"/>
      <c r="K271" s="446"/>
      <c r="L271" s="446"/>
      <c r="M271" s="446"/>
      <c r="N271" s="446"/>
      <c r="O271" s="446"/>
      <c r="P271" s="446"/>
      <c r="Q271" s="446"/>
      <c r="R271" s="412"/>
      <c r="S271" s="412"/>
      <c r="T271" s="412"/>
      <c r="U271" s="412"/>
      <c r="V271" s="412"/>
      <c r="W271" s="412"/>
      <c r="X271" s="412"/>
      <c r="Y271" s="412"/>
      <c r="Z271" s="412"/>
      <c r="AA271" s="412"/>
      <c r="AB271" s="412"/>
      <c r="AC271" s="412"/>
      <c r="AD271" s="412"/>
      <c r="AE271" s="412"/>
      <c r="AF271" s="412"/>
      <c r="AG271" s="412"/>
      <c r="AH271" s="412"/>
      <c r="AI271" s="387">
        <f t="shared" si="134"/>
        <v>0</v>
      </c>
      <c r="AJ271" s="387">
        <f t="shared" si="135"/>
        <v>0</v>
      </c>
      <c r="AK271" s="387">
        <f t="shared" si="136"/>
        <v>0</v>
      </c>
      <c r="AL271" s="387">
        <f t="shared" si="137"/>
        <v>0</v>
      </c>
      <c r="AM271" s="388">
        <f t="shared" si="138"/>
        <v>0</v>
      </c>
    </row>
    <row r="272" spans="1:39" s="400" customFormat="1" x14ac:dyDescent="0.25">
      <c r="A272" s="399" t="s">
        <v>1148</v>
      </c>
      <c r="B272" s="494" t="s">
        <v>113</v>
      </c>
      <c r="C272" s="407">
        <f>+C211+C212+C223+C234+C245+C247+C261</f>
        <v>219792</v>
      </c>
      <c r="D272" s="407">
        <f>+D211+D212+D223+D234+D245+D247+D261</f>
        <v>219792</v>
      </c>
      <c r="E272" s="407">
        <v>88746.437999999995</v>
      </c>
      <c r="F272" s="407">
        <f>+F261+F234</f>
        <v>219792.255</v>
      </c>
      <c r="G272" s="407">
        <f>+G211+G212+G223+G234+G245+G247+G261</f>
        <v>0</v>
      </c>
      <c r="H272" s="407">
        <f>+H211+H212+H223+H234+H245+H247+H261</f>
        <v>0</v>
      </c>
      <c r="I272" s="407">
        <v>0</v>
      </c>
      <c r="J272" s="448">
        <v>0</v>
      </c>
      <c r="K272" s="407">
        <f>+K211+K212+K223+K234+K245+K247+K261</f>
        <v>0</v>
      </c>
      <c r="L272" s="407">
        <f>+L211+L212+L223+L234+L245+L247+L261</f>
        <v>0</v>
      </c>
      <c r="M272" s="448"/>
      <c r="N272" s="448">
        <v>0</v>
      </c>
      <c r="O272" s="407">
        <f>+O211+O212+O223+O234+O245+O247+O261</f>
        <v>0</v>
      </c>
      <c r="P272" s="407">
        <f>+P211+P212+P223+P234+P245+P247+P261</f>
        <v>0</v>
      </c>
      <c r="Q272" s="448">
        <v>0</v>
      </c>
      <c r="R272" s="448">
        <v>0</v>
      </c>
      <c r="S272" s="407">
        <f>+S211+S212+S223+S234+S245+S247+S261</f>
        <v>0</v>
      </c>
      <c r="T272" s="407">
        <f>+T211+T212+T223+T234+T245+T247+T261</f>
        <v>0</v>
      </c>
      <c r="U272" s="448"/>
      <c r="V272" s="448">
        <v>0</v>
      </c>
      <c r="W272" s="407">
        <f>+W211+W212+W223+W234+W245+W247+W261</f>
        <v>0</v>
      </c>
      <c r="X272" s="407">
        <f>+X211+X212+X223+X234+X245+X247+X261</f>
        <v>0</v>
      </c>
      <c r="Y272" s="448"/>
      <c r="Z272" s="448">
        <v>0</v>
      </c>
      <c r="AA272" s="407">
        <f>+AA211+AA212+AA223+AA234+AA245+AA247+AA261</f>
        <v>0</v>
      </c>
      <c r="AB272" s="407">
        <f>+AB211+AB212+AB223+AB234+AB245+AB247+AB261</f>
        <v>0</v>
      </c>
      <c r="AC272" s="448"/>
      <c r="AD272" s="448">
        <v>0</v>
      </c>
      <c r="AE272" s="407">
        <f>+AE211+AE212+AE223+AE234+AE245+AE247+AE261</f>
        <v>0</v>
      </c>
      <c r="AF272" s="407">
        <f>+AF211+AF212+AF223+AF234+AF245+AF247+AF261</f>
        <v>0</v>
      </c>
      <c r="AG272" s="448"/>
      <c r="AH272" s="448">
        <v>0</v>
      </c>
      <c r="AI272" s="387">
        <f t="shared" si="134"/>
        <v>219792</v>
      </c>
      <c r="AJ272" s="387">
        <f t="shared" si="135"/>
        <v>219792</v>
      </c>
      <c r="AK272" s="387">
        <f t="shared" si="136"/>
        <v>88746.437999999995</v>
      </c>
      <c r="AL272" s="387">
        <f t="shared" si="137"/>
        <v>219792.255</v>
      </c>
      <c r="AM272" s="388">
        <f t="shared" si="138"/>
        <v>0</v>
      </c>
    </row>
    <row r="273" spans="1:39" s="400" customFormat="1" x14ac:dyDescent="0.25">
      <c r="A273" s="399" t="s">
        <v>1149</v>
      </c>
      <c r="B273" s="400" t="s">
        <v>691</v>
      </c>
      <c r="C273" s="407">
        <f>+C272+C210+C205+C195+C123+C59+C23+C22</f>
        <v>6934860</v>
      </c>
      <c r="D273" s="407">
        <f>+D272+D210+D205+D195+D123+D59+D23+D22</f>
        <v>6957176</v>
      </c>
      <c r="E273" s="407">
        <v>3636967.2320000003</v>
      </c>
      <c r="F273" s="407">
        <f>+F22+F23+F59+F123+F195+F205+F210+F272</f>
        <v>6934859.8739999998</v>
      </c>
      <c r="G273" s="407">
        <f>+G272+G210+G205+G195+G123+G59+G23+G22-1</f>
        <v>1531849.8</v>
      </c>
      <c r="H273" s="407">
        <f>+H272+H210+H205+H195+H123+H59+H23+H22</f>
        <v>1531850</v>
      </c>
      <c r="I273" s="407">
        <v>1234616.672</v>
      </c>
      <c r="J273" s="448">
        <v>1531850.3759999999</v>
      </c>
      <c r="K273" s="407">
        <f>+K272+K210+K205+K195+K123+K59+K23+K22</f>
        <v>1169671</v>
      </c>
      <c r="L273" s="407">
        <f>+L272+L210+L205+L195+L123+L59+L23+L22</f>
        <v>1169671</v>
      </c>
      <c r="M273" s="448">
        <v>1508219.7680000004</v>
      </c>
      <c r="N273" s="448">
        <v>1169671</v>
      </c>
      <c r="O273" s="407">
        <f>+O272+O210+O205+O195+O123+O59+O23+O22</f>
        <v>3806420</v>
      </c>
      <c r="P273" s="407">
        <f>+P272+P210+P205+P195+P123+P59+P23+P22</f>
        <v>3806420</v>
      </c>
      <c r="Q273" s="448">
        <v>2285778.6880000001</v>
      </c>
      <c r="R273" s="448">
        <v>3806420.02</v>
      </c>
      <c r="S273" s="407">
        <f>+S272+S210+S205+S195+S123+S59+S23+S22</f>
        <v>916445</v>
      </c>
      <c r="T273" s="407">
        <f>+T272+T210+T205+T195+T123+T59+T23+T22</f>
        <v>916445</v>
      </c>
      <c r="U273" s="448">
        <v>856302.005</v>
      </c>
      <c r="V273" s="448">
        <v>916445</v>
      </c>
      <c r="W273" s="407">
        <f>+W272+W210+W205+W195+W123+W59+W23+W22</f>
        <v>506696.5</v>
      </c>
      <c r="X273" s="407">
        <f>+X272+X210+X205+X195+X123+X59+X23+X22</f>
        <v>506697</v>
      </c>
      <c r="Y273" s="448">
        <v>391028.51299999998</v>
      </c>
      <c r="Z273" s="448">
        <v>506696.5</v>
      </c>
      <c r="AA273" s="407">
        <f>+AA272+AA210+AA205+AA195+AA123+AA59+AA23+AA22</f>
        <v>495664</v>
      </c>
      <c r="AB273" s="407">
        <f>+AB272+AB210+AB205+AB195+AB123+AB59+AB23+AB22</f>
        <v>495664</v>
      </c>
      <c r="AC273" s="448">
        <v>431965.29700000002</v>
      </c>
      <c r="AD273" s="448">
        <v>495664</v>
      </c>
      <c r="AE273" s="407">
        <f>+AE272+AE210+AE205+AE195+AE123+AE59+AE23+AE22</f>
        <v>95055</v>
      </c>
      <c r="AF273" s="407">
        <f>+AF272+AF210+AF205+AF195+AF123+AF59+AF23+AF22</f>
        <v>95055</v>
      </c>
      <c r="AG273" s="448">
        <v>51965.260999999999</v>
      </c>
      <c r="AH273" s="448">
        <v>95055</v>
      </c>
      <c r="AI273" s="409">
        <v>15456663</v>
      </c>
      <c r="AJ273" s="409">
        <f t="shared" si="135"/>
        <v>15478978</v>
      </c>
      <c r="AK273" s="409">
        <f t="shared" si="136"/>
        <v>10396843.436000001</v>
      </c>
      <c r="AL273" s="409">
        <f>F273+J273+N273+R273+V273+Z273+AD273+AH273+1</f>
        <v>15456662.77</v>
      </c>
      <c r="AM273" s="388">
        <f t="shared" si="138"/>
        <v>8521801.8959999997</v>
      </c>
    </row>
    <row r="274" spans="1:39" ht="38.25" hidden="1" x14ac:dyDescent="0.2">
      <c r="A274" s="380" t="s">
        <v>692</v>
      </c>
      <c r="B274" s="381"/>
      <c r="C274" s="382"/>
      <c r="D274" s="382"/>
      <c r="E274" s="382"/>
      <c r="F274" s="383"/>
      <c r="G274" s="384"/>
      <c r="H274" s="384"/>
      <c r="I274" s="384"/>
      <c r="J274" s="405"/>
      <c r="K274" s="405"/>
      <c r="L274" s="405"/>
      <c r="M274" s="405"/>
      <c r="N274" s="422"/>
      <c r="O274" s="422"/>
      <c r="P274" s="422"/>
      <c r="Q274" s="422"/>
      <c r="R274" s="422"/>
      <c r="S274" s="422"/>
      <c r="T274" s="422"/>
      <c r="U274" s="422"/>
      <c r="V274" s="422"/>
      <c r="W274" s="422"/>
      <c r="X274" s="422"/>
      <c r="Y274" s="422"/>
      <c r="Z274" s="422"/>
      <c r="AA274" s="422"/>
      <c r="AB274" s="422"/>
      <c r="AC274" s="422"/>
      <c r="AD274" s="422"/>
      <c r="AE274" s="422"/>
      <c r="AF274" s="422"/>
      <c r="AG274" s="422"/>
      <c r="AH274" s="422"/>
      <c r="AI274" s="387">
        <f t="shared" si="134"/>
        <v>0</v>
      </c>
      <c r="AJ274" s="387">
        <f t="shared" si="135"/>
        <v>0</v>
      </c>
      <c r="AK274" s="387">
        <f t="shared" si="136"/>
        <v>0</v>
      </c>
      <c r="AL274" s="387">
        <f t="shared" si="137"/>
        <v>0</v>
      </c>
      <c r="AM274" s="388">
        <f t="shared" si="138"/>
        <v>0</v>
      </c>
    </row>
    <row r="275" spans="1:39" s="419" customFormat="1" ht="25.5" hidden="1" x14ac:dyDescent="0.2">
      <c r="A275" s="391" t="s">
        <v>693</v>
      </c>
      <c r="B275" s="416"/>
      <c r="C275" s="417"/>
      <c r="D275" s="417"/>
      <c r="E275" s="417"/>
      <c r="F275" s="394"/>
      <c r="G275" s="395"/>
      <c r="H275" s="395"/>
      <c r="I275" s="395"/>
      <c r="J275" s="421"/>
      <c r="K275" s="421"/>
      <c r="L275" s="421"/>
      <c r="M275" s="421"/>
      <c r="N275" s="412"/>
      <c r="O275" s="412"/>
      <c r="P275" s="412"/>
      <c r="Q275" s="412"/>
      <c r="R275" s="412"/>
      <c r="S275" s="412"/>
      <c r="T275" s="412"/>
      <c r="U275" s="412"/>
      <c r="V275" s="412"/>
      <c r="W275" s="412"/>
      <c r="X275" s="412"/>
      <c r="Y275" s="412"/>
      <c r="Z275" s="412"/>
      <c r="AA275" s="412"/>
      <c r="AB275" s="412"/>
      <c r="AC275" s="412"/>
      <c r="AD275" s="412"/>
      <c r="AE275" s="412"/>
      <c r="AF275" s="412"/>
      <c r="AG275" s="412"/>
      <c r="AH275" s="412"/>
      <c r="AI275" s="387">
        <f t="shared" si="134"/>
        <v>0</v>
      </c>
      <c r="AJ275" s="387">
        <f t="shared" si="135"/>
        <v>0</v>
      </c>
      <c r="AK275" s="387">
        <f t="shared" si="136"/>
        <v>0</v>
      </c>
      <c r="AL275" s="387">
        <f t="shared" si="137"/>
        <v>0</v>
      </c>
      <c r="AM275" s="388">
        <f t="shared" si="138"/>
        <v>0</v>
      </c>
    </row>
    <row r="276" spans="1:39" ht="38.25" hidden="1" x14ac:dyDescent="0.2">
      <c r="A276" s="380" t="s">
        <v>694</v>
      </c>
      <c r="B276" s="381"/>
      <c r="C276" s="382"/>
      <c r="D276" s="382"/>
      <c r="E276" s="382"/>
      <c r="F276" s="495"/>
      <c r="G276" s="496"/>
      <c r="H276" s="496"/>
      <c r="I276" s="496"/>
      <c r="J276" s="405"/>
      <c r="K276" s="405"/>
      <c r="L276" s="405"/>
      <c r="M276" s="405"/>
      <c r="N276" s="422"/>
      <c r="O276" s="422"/>
      <c r="P276" s="422"/>
      <c r="Q276" s="422"/>
      <c r="R276" s="422"/>
      <c r="S276" s="422"/>
      <c r="T276" s="422"/>
      <c r="U276" s="422"/>
      <c r="V276" s="422"/>
      <c r="W276" s="422"/>
      <c r="X276" s="422"/>
      <c r="Y276" s="422"/>
      <c r="Z276" s="422"/>
      <c r="AA276" s="422"/>
      <c r="AB276" s="422"/>
      <c r="AC276" s="422"/>
      <c r="AD276" s="422"/>
      <c r="AE276" s="422"/>
      <c r="AF276" s="422"/>
      <c r="AG276" s="422"/>
      <c r="AH276" s="422"/>
      <c r="AI276" s="387">
        <f t="shared" si="134"/>
        <v>0</v>
      </c>
      <c r="AJ276" s="387">
        <f t="shared" si="135"/>
        <v>0</v>
      </c>
      <c r="AK276" s="387">
        <f t="shared" si="136"/>
        <v>0</v>
      </c>
      <c r="AL276" s="387">
        <f t="shared" si="137"/>
        <v>0</v>
      </c>
      <c r="AM276" s="388">
        <f t="shared" si="138"/>
        <v>0</v>
      </c>
    </row>
    <row r="277" spans="1:39" ht="38.25" hidden="1" x14ac:dyDescent="0.2">
      <c r="A277" s="380" t="s">
        <v>695</v>
      </c>
      <c r="B277" s="381"/>
      <c r="C277" s="382"/>
      <c r="D277" s="382"/>
      <c r="E277" s="382"/>
      <c r="F277" s="383"/>
      <c r="G277" s="384"/>
      <c r="H277" s="384"/>
      <c r="I277" s="384"/>
      <c r="J277" s="405"/>
      <c r="K277" s="405"/>
      <c r="L277" s="405"/>
      <c r="M277" s="405"/>
      <c r="N277" s="422"/>
      <c r="O277" s="422"/>
      <c r="P277" s="422"/>
      <c r="Q277" s="422"/>
      <c r="R277" s="422"/>
      <c r="S277" s="422"/>
      <c r="T277" s="422"/>
      <c r="U277" s="422"/>
      <c r="V277" s="422"/>
      <c r="W277" s="422"/>
      <c r="X277" s="422"/>
      <c r="Y277" s="422"/>
      <c r="Z277" s="422"/>
      <c r="AA277" s="422"/>
      <c r="AB277" s="422"/>
      <c r="AC277" s="422"/>
      <c r="AD277" s="422"/>
      <c r="AE277" s="422"/>
      <c r="AF277" s="422"/>
      <c r="AG277" s="422"/>
      <c r="AH277" s="422"/>
      <c r="AI277" s="387">
        <f t="shared" si="134"/>
        <v>0</v>
      </c>
      <c r="AJ277" s="387">
        <f t="shared" si="135"/>
        <v>0</v>
      </c>
      <c r="AK277" s="387">
        <f t="shared" si="136"/>
        <v>0</v>
      </c>
      <c r="AL277" s="387">
        <f t="shared" si="137"/>
        <v>0</v>
      </c>
      <c r="AM277" s="388">
        <f t="shared" si="138"/>
        <v>0</v>
      </c>
    </row>
    <row r="278" spans="1:39" s="419" customFormat="1" ht="25.5" hidden="1" x14ac:dyDescent="0.2">
      <c r="A278" s="391" t="s">
        <v>696</v>
      </c>
      <c r="B278" s="416"/>
      <c r="C278" s="417"/>
      <c r="D278" s="417"/>
      <c r="E278" s="417"/>
      <c r="F278" s="418"/>
      <c r="G278" s="414"/>
      <c r="H278" s="414"/>
      <c r="I278" s="414"/>
      <c r="J278" s="446"/>
      <c r="K278" s="446"/>
      <c r="L278" s="446"/>
      <c r="M278" s="446"/>
      <c r="N278" s="446"/>
      <c r="O278" s="446"/>
      <c r="P278" s="446"/>
      <c r="Q278" s="446"/>
      <c r="R278" s="412"/>
      <c r="S278" s="412"/>
      <c r="T278" s="412"/>
      <c r="U278" s="412"/>
      <c r="V278" s="412"/>
      <c r="W278" s="412"/>
      <c r="X278" s="412"/>
      <c r="Y278" s="412"/>
      <c r="Z278" s="412"/>
      <c r="AA278" s="412"/>
      <c r="AB278" s="412"/>
      <c r="AC278" s="412"/>
      <c r="AD278" s="412"/>
      <c r="AE278" s="412"/>
      <c r="AF278" s="412"/>
      <c r="AG278" s="412"/>
      <c r="AH278" s="412"/>
      <c r="AI278" s="387">
        <f t="shared" si="134"/>
        <v>0</v>
      </c>
      <c r="AJ278" s="387">
        <f t="shared" si="135"/>
        <v>0</v>
      </c>
      <c r="AK278" s="387">
        <f t="shared" si="136"/>
        <v>0</v>
      </c>
      <c r="AL278" s="387">
        <f t="shared" si="137"/>
        <v>0</v>
      </c>
      <c r="AM278" s="388">
        <f t="shared" si="138"/>
        <v>0</v>
      </c>
    </row>
    <row r="279" spans="1:39" s="472" customFormat="1" ht="38.25" hidden="1" x14ac:dyDescent="0.2">
      <c r="A279" s="425" t="s">
        <v>697</v>
      </c>
      <c r="B279" s="426"/>
      <c r="C279" s="427"/>
      <c r="D279" s="427"/>
      <c r="E279" s="427"/>
      <c r="F279" s="428">
        <v>0</v>
      </c>
      <c r="G279" s="457"/>
      <c r="H279" s="457"/>
      <c r="I279" s="457"/>
      <c r="J279" s="458">
        <v>0</v>
      </c>
      <c r="K279" s="458"/>
      <c r="L279" s="458"/>
      <c r="M279" s="458"/>
      <c r="N279" s="458">
        <v>0</v>
      </c>
      <c r="O279" s="458"/>
      <c r="P279" s="458"/>
      <c r="Q279" s="458"/>
      <c r="R279" s="458">
        <v>0</v>
      </c>
      <c r="S279" s="458"/>
      <c r="T279" s="458"/>
      <c r="U279" s="458"/>
      <c r="V279" s="458">
        <v>0</v>
      </c>
      <c r="W279" s="458"/>
      <c r="X279" s="458"/>
      <c r="Y279" s="458"/>
      <c r="Z279" s="458">
        <v>0</v>
      </c>
      <c r="AA279" s="458"/>
      <c r="AB279" s="458"/>
      <c r="AC279" s="458"/>
      <c r="AD279" s="458">
        <v>0</v>
      </c>
      <c r="AE279" s="458"/>
      <c r="AF279" s="458"/>
      <c r="AG279" s="458"/>
      <c r="AH279" s="458">
        <v>0</v>
      </c>
      <c r="AI279" s="387">
        <f t="shared" ref="AI279:AI297" si="139">C279+G279+K279+O279+S279+W279+AA279+AE279</f>
        <v>0</v>
      </c>
      <c r="AJ279" s="387">
        <f t="shared" ref="AJ279:AJ296" si="140">D279+H279+L279+P279+T279+X279+AB279+AF279</f>
        <v>0</v>
      </c>
      <c r="AK279" s="387">
        <f t="shared" ref="AK279:AK296" si="141">E279+I279+M279+Q279+U279+Y279+AC279+AG279</f>
        <v>0</v>
      </c>
      <c r="AL279" s="387">
        <f t="shared" si="137"/>
        <v>0</v>
      </c>
      <c r="AM279" s="388">
        <f t="shared" si="138"/>
        <v>0</v>
      </c>
    </row>
    <row r="280" spans="1:39" s="498" customFormat="1" ht="25.5" hidden="1" x14ac:dyDescent="0.2">
      <c r="A280" s="380" t="s">
        <v>698</v>
      </c>
      <c r="B280" s="381"/>
      <c r="C280" s="382"/>
      <c r="D280" s="382"/>
      <c r="E280" s="382"/>
      <c r="F280" s="383">
        <v>0</v>
      </c>
      <c r="G280" s="384"/>
      <c r="H280" s="384"/>
      <c r="I280" s="384"/>
      <c r="J280" s="421">
        <v>0</v>
      </c>
      <c r="K280" s="421"/>
      <c r="L280" s="421"/>
      <c r="M280" s="421"/>
      <c r="N280" s="412">
        <v>0</v>
      </c>
      <c r="O280" s="412"/>
      <c r="P280" s="412"/>
      <c r="Q280" s="412"/>
      <c r="R280" s="497">
        <v>0</v>
      </c>
      <c r="S280" s="497"/>
      <c r="T280" s="497"/>
      <c r="U280" s="497"/>
      <c r="V280" s="497">
        <v>0</v>
      </c>
      <c r="W280" s="497"/>
      <c r="X280" s="497"/>
      <c r="Y280" s="497"/>
      <c r="Z280" s="497">
        <v>0</v>
      </c>
      <c r="AA280" s="497"/>
      <c r="AB280" s="497"/>
      <c r="AC280" s="497"/>
      <c r="AD280" s="497">
        <v>0</v>
      </c>
      <c r="AE280" s="497"/>
      <c r="AF280" s="497"/>
      <c r="AG280" s="497"/>
      <c r="AH280" s="497">
        <v>0</v>
      </c>
      <c r="AI280" s="387">
        <f t="shared" si="139"/>
        <v>0</v>
      </c>
      <c r="AJ280" s="387">
        <f t="shared" si="140"/>
        <v>0</v>
      </c>
      <c r="AK280" s="387">
        <f t="shared" si="141"/>
        <v>0</v>
      </c>
      <c r="AL280" s="387">
        <f t="shared" si="137"/>
        <v>0</v>
      </c>
      <c r="AM280" s="388">
        <f t="shared" si="138"/>
        <v>0</v>
      </c>
    </row>
    <row r="281" spans="1:39" s="465" customFormat="1" hidden="1" x14ac:dyDescent="0.2">
      <c r="A281" s="391" t="s">
        <v>699</v>
      </c>
      <c r="B281" s="416"/>
      <c r="C281" s="417"/>
      <c r="D281" s="417"/>
      <c r="E281" s="417"/>
      <c r="F281" s="418"/>
      <c r="G281" s="414"/>
      <c r="H281" s="414"/>
      <c r="I281" s="414"/>
      <c r="J281" s="497"/>
      <c r="K281" s="497"/>
      <c r="L281" s="497"/>
      <c r="M281" s="497"/>
      <c r="N281" s="412"/>
      <c r="O281" s="412"/>
      <c r="P281" s="412"/>
      <c r="Q281" s="412"/>
      <c r="R281" s="412"/>
      <c r="S281" s="412"/>
      <c r="T281" s="412"/>
      <c r="U281" s="412"/>
      <c r="V281" s="412"/>
      <c r="W281" s="412"/>
      <c r="X281" s="412"/>
      <c r="Y281" s="412"/>
      <c r="Z281" s="412"/>
      <c r="AA281" s="412"/>
      <c r="AB281" s="412"/>
      <c r="AC281" s="412"/>
      <c r="AD281" s="412"/>
      <c r="AE281" s="412"/>
      <c r="AF281" s="412"/>
      <c r="AG281" s="412"/>
      <c r="AH281" s="412"/>
      <c r="AI281" s="387">
        <f t="shared" si="139"/>
        <v>0</v>
      </c>
      <c r="AJ281" s="387">
        <f t="shared" si="140"/>
        <v>0</v>
      </c>
      <c r="AK281" s="387">
        <f t="shared" si="141"/>
        <v>0</v>
      </c>
      <c r="AL281" s="387">
        <f t="shared" si="137"/>
        <v>0</v>
      </c>
      <c r="AM281" s="388">
        <f t="shared" si="138"/>
        <v>0</v>
      </c>
    </row>
    <row r="282" spans="1:39" s="419" customFormat="1" hidden="1" x14ac:dyDescent="0.2">
      <c r="A282" s="391" t="s">
        <v>700</v>
      </c>
      <c r="B282" s="416"/>
      <c r="C282" s="417"/>
      <c r="D282" s="417"/>
      <c r="E282" s="417"/>
      <c r="F282" s="418"/>
      <c r="G282" s="414"/>
      <c r="H282" s="414"/>
      <c r="I282" s="414"/>
      <c r="J282" s="497"/>
      <c r="K282" s="497"/>
      <c r="L282" s="497"/>
      <c r="M282" s="497"/>
      <c r="N282" s="412"/>
      <c r="O282" s="412"/>
      <c r="P282" s="412"/>
      <c r="Q282" s="412"/>
      <c r="R282" s="412"/>
      <c r="S282" s="412"/>
      <c r="T282" s="412"/>
      <c r="U282" s="412"/>
      <c r="V282" s="412"/>
      <c r="W282" s="412"/>
      <c r="X282" s="412"/>
      <c r="Y282" s="412"/>
      <c r="Z282" s="412"/>
      <c r="AA282" s="412"/>
      <c r="AB282" s="412"/>
      <c r="AC282" s="412"/>
      <c r="AD282" s="412"/>
      <c r="AE282" s="412"/>
      <c r="AF282" s="412"/>
      <c r="AG282" s="412"/>
      <c r="AH282" s="412"/>
      <c r="AI282" s="387">
        <f t="shared" si="139"/>
        <v>0</v>
      </c>
      <c r="AJ282" s="387">
        <f t="shared" si="140"/>
        <v>0</v>
      </c>
      <c r="AK282" s="387">
        <f t="shared" si="141"/>
        <v>0</v>
      </c>
      <c r="AL282" s="387">
        <f t="shared" si="137"/>
        <v>0</v>
      </c>
      <c r="AM282" s="388">
        <f t="shared" si="138"/>
        <v>0</v>
      </c>
    </row>
    <row r="283" spans="1:39" ht="25.5" hidden="1" x14ac:dyDescent="0.2">
      <c r="A283" s="380" t="s">
        <v>701</v>
      </c>
      <c r="B283" s="381"/>
      <c r="C283" s="382"/>
      <c r="D283" s="382"/>
      <c r="E283" s="382"/>
      <c r="F283" s="383"/>
      <c r="G283" s="384"/>
      <c r="H283" s="384"/>
      <c r="I283" s="384"/>
      <c r="J283" s="421"/>
      <c r="K283" s="421"/>
      <c r="L283" s="421"/>
      <c r="M283" s="421"/>
      <c r="N283" s="296"/>
      <c r="O283" s="296"/>
      <c r="P283" s="296"/>
      <c r="Q283" s="296"/>
      <c r="R283" s="422"/>
      <c r="S283" s="422"/>
      <c r="T283" s="422"/>
      <c r="U283" s="422"/>
      <c r="V283" s="422"/>
      <c r="W283" s="422"/>
      <c r="X283" s="422"/>
      <c r="Y283" s="422"/>
      <c r="Z283" s="422"/>
      <c r="AA283" s="422"/>
      <c r="AB283" s="422"/>
      <c r="AC283" s="422"/>
      <c r="AD283" s="422"/>
      <c r="AE283" s="422"/>
      <c r="AF283" s="422"/>
      <c r="AG283" s="422"/>
      <c r="AH283" s="422"/>
      <c r="AI283" s="387">
        <f t="shared" si="139"/>
        <v>0</v>
      </c>
      <c r="AJ283" s="387">
        <f t="shared" si="140"/>
        <v>0</v>
      </c>
      <c r="AK283" s="387">
        <f t="shared" si="141"/>
        <v>0</v>
      </c>
      <c r="AL283" s="387">
        <f t="shared" si="137"/>
        <v>0</v>
      </c>
      <c r="AM283" s="388">
        <f t="shared" si="138"/>
        <v>0</v>
      </c>
    </row>
    <row r="284" spans="1:39" hidden="1" x14ac:dyDescent="0.2">
      <c r="A284" s="380" t="s">
        <v>702</v>
      </c>
      <c r="B284" s="381"/>
      <c r="C284" s="382"/>
      <c r="D284" s="382"/>
      <c r="E284" s="382"/>
      <c r="F284" s="383"/>
      <c r="G284" s="384"/>
      <c r="H284" s="384"/>
      <c r="I284" s="384"/>
      <c r="J284" s="421"/>
      <c r="K284" s="421"/>
      <c r="L284" s="421"/>
      <c r="M284" s="421"/>
      <c r="N284" s="422"/>
      <c r="O284" s="422"/>
      <c r="P284" s="422"/>
      <c r="Q284" s="422"/>
      <c r="R284" s="422"/>
      <c r="S284" s="422"/>
      <c r="T284" s="422"/>
      <c r="U284" s="422"/>
      <c r="V284" s="422"/>
      <c r="W284" s="422"/>
      <c r="X284" s="422"/>
      <c r="Y284" s="422"/>
      <c r="Z284" s="422"/>
      <c r="AA284" s="422"/>
      <c r="AB284" s="422"/>
      <c r="AC284" s="422"/>
      <c r="AD284" s="422"/>
      <c r="AE284" s="422"/>
      <c r="AF284" s="422"/>
      <c r="AG284" s="422"/>
      <c r="AH284" s="422"/>
      <c r="AI284" s="387">
        <f t="shared" si="139"/>
        <v>0</v>
      </c>
      <c r="AJ284" s="387">
        <f t="shared" si="140"/>
        <v>0</v>
      </c>
      <c r="AK284" s="387">
        <f t="shared" si="141"/>
        <v>0</v>
      </c>
      <c r="AL284" s="387">
        <f t="shared" si="137"/>
        <v>0</v>
      </c>
      <c r="AM284" s="388">
        <f t="shared" si="138"/>
        <v>0</v>
      </c>
    </row>
    <row r="285" spans="1:39" s="472" customFormat="1" ht="25.5" hidden="1" x14ac:dyDescent="0.2">
      <c r="A285" s="425" t="s">
        <v>703</v>
      </c>
      <c r="B285" s="426"/>
      <c r="C285" s="427"/>
      <c r="D285" s="427"/>
      <c r="E285" s="427"/>
      <c r="F285" s="462">
        <v>0</v>
      </c>
      <c r="G285" s="463"/>
      <c r="H285" s="463"/>
      <c r="I285" s="463"/>
      <c r="J285" s="499">
        <v>0</v>
      </c>
      <c r="K285" s="499"/>
      <c r="L285" s="499"/>
      <c r="M285" s="499"/>
      <c r="N285" s="500">
        <v>0</v>
      </c>
      <c r="O285" s="500"/>
      <c r="P285" s="500"/>
      <c r="Q285" s="500"/>
      <c r="R285" s="501">
        <v>0</v>
      </c>
      <c r="S285" s="501"/>
      <c r="T285" s="501"/>
      <c r="U285" s="501"/>
      <c r="V285" s="501">
        <v>0</v>
      </c>
      <c r="W285" s="501"/>
      <c r="X285" s="501"/>
      <c r="Y285" s="501"/>
      <c r="Z285" s="501">
        <v>0</v>
      </c>
      <c r="AA285" s="501"/>
      <c r="AB285" s="501"/>
      <c r="AC285" s="501"/>
      <c r="AD285" s="501">
        <v>0</v>
      </c>
      <c r="AE285" s="501"/>
      <c r="AF285" s="501"/>
      <c r="AG285" s="501"/>
      <c r="AH285" s="501">
        <v>0</v>
      </c>
      <c r="AI285" s="387">
        <f t="shared" si="139"/>
        <v>0</v>
      </c>
      <c r="AJ285" s="387">
        <f t="shared" si="140"/>
        <v>0</v>
      </c>
      <c r="AK285" s="387">
        <f t="shared" si="141"/>
        <v>0</v>
      </c>
      <c r="AL285" s="387">
        <f t="shared" si="137"/>
        <v>0</v>
      </c>
      <c r="AM285" s="388">
        <f t="shared" si="138"/>
        <v>0</v>
      </c>
    </row>
    <row r="286" spans="1:39" s="419" customFormat="1" ht="25.5" hidden="1" x14ac:dyDescent="0.2">
      <c r="A286" s="391" t="s">
        <v>704</v>
      </c>
      <c r="B286" s="416"/>
      <c r="C286" s="417"/>
      <c r="D286" s="417"/>
      <c r="E286" s="417"/>
      <c r="F286" s="418"/>
      <c r="G286" s="414"/>
      <c r="H286" s="414"/>
      <c r="I286" s="414"/>
      <c r="J286" s="421"/>
      <c r="K286" s="421"/>
      <c r="L286" s="421"/>
      <c r="M286" s="421"/>
      <c r="N286" s="412"/>
      <c r="O286" s="412"/>
      <c r="P286" s="412"/>
      <c r="Q286" s="412"/>
      <c r="R286" s="412"/>
      <c r="S286" s="412"/>
      <c r="T286" s="412"/>
      <c r="U286" s="412"/>
      <c r="V286" s="412"/>
      <c r="W286" s="412"/>
      <c r="X286" s="412"/>
      <c r="Y286" s="412"/>
      <c r="Z286" s="412"/>
      <c r="AA286" s="412"/>
      <c r="AB286" s="412"/>
      <c r="AC286" s="412"/>
      <c r="AD286" s="412"/>
      <c r="AE286" s="412"/>
      <c r="AF286" s="412"/>
      <c r="AG286" s="412"/>
      <c r="AH286" s="412"/>
      <c r="AI286" s="387">
        <f t="shared" si="139"/>
        <v>0</v>
      </c>
      <c r="AJ286" s="387">
        <f t="shared" si="140"/>
        <v>0</v>
      </c>
      <c r="AK286" s="387">
        <f t="shared" si="141"/>
        <v>0</v>
      </c>
      <c r="AL286" s="387">
        <f t="shared" si="137"/>
        <v>0</v>
      </c>
      <c r="AM286" s="388">
        <f t="shared" si="138"/>
        <v>0</v>
      </c>
    </row>
    <row r="287" spans="1:39" s="419" customFormat="1" hidden="1" x14ac:dyDescent="0.2">
      <c r="A287" s="391" t="s">
        <v>705</v>
      </c>
      <c r="B287" s="416"/>
      <c r="C287" s="417"/>
      <c r="D287" s="417"/>
      <c r="E287" s="417"/>
      <c r="F287" s="418"/>
      <c r="G287" s="414"/>
      <c r="H287" s="414"/>
      <c r="I287" s="414"/>
      <c r="J287" s="421"/>
      <c r="K287" s="421"/>
      <c r="L287" s="421"/>
      <c r="M287" s="421"/>
      <c r="N287" s="412"/>
      <c r="O287" s="412"/>
      <c r="P287" s="412"/>
      <c r="Q287" s="412"/>
      <c r="R287" s="412"/>
      <c r="S287" s="412"/>
      <c r="T287" s="412"/>
      <c r="U287" s="412"/>
      <c r="V287" s="412"/>
      <c r="W287" s="412"/>
      <c r="X287" s="412"/>
      <c r="Y287" s="412"/>
      <c r="Z287" s="412"/>
      <c r="AA287" s="412"/>
      <c r="AB287" s="412"/>
      <c r="AC287" s="412"/>
      <c r="AD287" s="412"/>
      <c r="AE287" s="412"/>
      <c r="AF287" s="412"/>
      <c r="AG287" s="412"/>
      <c r="AH287" s="412"/>
      <c r="AI287" s="387">
        <f t="shared" si="139"/>
        <v>0</v>
      </c>
      <c r="AJ287" s="387">
        <f t="shared" si="140"/>
        <v>0</v>
      </c>
      <c r="AK287" s="387">
        <f t="shared" si="141"/>
        <v>0</v>
      </c>
      <c r="AL287" s="387">
        <f t="shared" si="137"/>
        <v>0</v>
      </c>
      <c r="AM287" s="388">
        <f t="shared" si="138"/>
        <v>0</v>
      </c>
    </row>
    <row r="288" spans="1:39" s="419" customFormat="1" hidden="1" x14ac:dyDescent="0.2">
      <c r="A288" s="391" t="s">
        <v>706</v>
      </c>
      <c r="B288" s="416"/>
      <c r="C288" s="417"/>
      <c r="D288" s="417"/>
      <c r="E288" s="417"/>
      <c r="F288" s="394"/>
      <c r="G288" s="395"/>
      <c r="H288" s="395"/>
      <c r="I288" s="395"/>
      <c r="J288" s="421"/>
      <c r="K288" s="421"/>
      <c r="L288" s="421"/>
      <c r="M288" s="421"/>
      <c r="N288" s="412"/>
      <c r="O288" s="412"/>
      <c r="P288" s="412"/>
      <c r="Q288" s="412"/>
      <c r="R288" s="412"/>
      <c r="S288" s="412"/>
      <c r="T288" s="412"/>
      <c r="U288" s="412"/>
      <c r="V288" s="412"/>
      <c r="W288" s="412"/>
      <c r="X288" s="412"/>
      <c r="Y288" s="412"/>
      <c r="Z288" s="412"/>
      <c r="AA288" s="412"/>
      <c r="AB288" s="412"/>
      <c r="AC288" s="412"/>
      <c r="AD288" s="412"/>
      <c r="AE288" s="412"/>
      <c r="AF288" s="412"/>
      <c r="AG288" s="412"/>
      <c r="AH288" s="412"/>
      <c r="AI288" s="387">
        <f t="shared" si="139"/>
        <v>0</v>
      </c>
      <c r="AJ288" s="387">
        <f t="shared" si="140"/>
        <v>0</v>
      </c>
      <c r="AK288" s="387">
        <f t="shared" si="141"/>
        <v>0</v>
      </c>
      <c r="AL288" s="387">
        <f t="shared" si="137"/>
        <v>0</v>
      </c>
      <c r="AM288" s="388">
        <f t="shared" si="138"/>
        <v>0</v>
      </c>
    </row>
    <row r="289" spans="1:41" hidden="1" x14ac:dyDescent="0.2">
      <c r="A289" s="380" t="s">
        <v>707</v>
      </c>
      <c r="B289" s="381"/>
      <c r="C289" s="382"/>
      <c r="D289" s="382"/>
      <c r="E289" s="382"/>
      <c r="F289" s="383"/>
      <c r="G289" s="384"/>
      <c r="H289" s="384"/>
      <c r="I289" s="384"/>
      <c r="J289" s="405"/>
      <c r="K289" s="405"/>
      <c r="L289" s="405"/>
      <c r="M289" s="405"/>
      <c r="N289" s="422"/>
      <c r="O289" s="422"/>
      <c r="P289" s="422"/>
      <c r="Q289" s="422"/>
      <c r="R289" s="422"/>
      <c r="S289" s="422"/>
      <c r="T289" s="422"/>
      <c r="U289" s="422"/>
      <c r="V289" s="422"/>
      <c r="W289" s="422"/>
      <c r="X289" s="422"/>
      <c r="Y289" s="422"/>
      <c r="Z289" s="422"/>
      <c r="AA289" s="422"/>
      <c r="AB289" s="422"/>
      <c r="AC289" s="422"/>
      <c r="AD289" s="422"/>
      <c r="AE289" s="422"/>
      <c r="AF289" s="422"/>
      <c r="AG289" s="422"/>
      <c r="AH289" s="422"/>
      <c r="AI289" s="387">
        <f t="shared" si="139"/>
        <v>0</v>
      </c>
      <c r="AJ289" s="387">
        <f t="shared" si="140"/>
        <v>0</v>
      </c>
      <c r="AK289" s="387">
        <f t="shared" si="141"/>
        <v>0</v>
      </c>
      <c r="AL289" s="387">
        <f t="shared" si="137"/>
        <v>0</v>
      </c>
      <c r="AM289" s="388">
        <f t="shared" si="138"/>
        <v>0</v>
      </c>
    </row>
    <row r="290" spans="1:41" ht="25.5" hidden="1" x14ac:dyDescent="0.2">
      <c r="A290" s="380" t="s">
        <v>708</v>
      </c>
      <c r="B290" s="381"/>
      <c r="C290" s="382"/>
      <c r="D290" s="382"/>
      <c r="E290" s="382"/>
      <c r="F290" s="383"/>
      <c r="G290" s="384"/>
      <c r="H290" s="384"/>
      <c r="I290" s="384"/>
      <c r="J290" s="296"/>
      <c r="K290" s="296"/>
      <c r="L290" s="296"/>
      <c r="M290" s="296"/>
      <c r="N290" s="296"/>
      <c r="O290" s="296"/>
      <c r="P290" s="296"/>
      <c r="Q290" s="296"/>
      <c r="R290" s="422"/>
      <c r="S290" s="422"/>
      <c r="T290" s="422"/>
      <c r="U290" s="422"/>
      <c r="V290" s="422"/>
      <c r="W290" s="422"/>
      <c r="X290" s="422"/>
      <c r="Y290" s="422"/>
      <c r="Z290" s="422"/>
      <c r="AA290" s="422"/>
      <c r="AB290" s="422"/>
      <c r="AC290" s="422"/>
      <c r="AD290" s="422"/>
      <c r="AE290" s="422"/>
      <c r="AF290" s="422"/>
      <c r="AG290" s="422"/>
      <c r="AH290" s="422"/>
      <c r="AI290" s="387">
        <f t="shared" si="139"/>
        <v>0</v>
      </c>
      <c r="AJ290" s="387">
        <f t="shared" si="140"/>
        <v>0</v>
      </c>
      <c r="AK290" s="387">
        <f t="shared" si="141"/>
        <v>0</v>
      </c>
      <c r="AL290" s="387">
        <f t="shared" si="137"/>
        <v>0</v>
      </c>
      <c r="AM290" s="388">
        <f t="shared" si="138"/>
        <v>0</v>
      </c>
    </row>
    <row r="291" spans="1:41" s="419" customFormat="1" ht="25.5" hidden="1" x14ac:dyDescent="0.2">
      <c r="A291" s="391" t="s">
        <v>709</v>
      </c>
      <c r="B291" s="416"/>
      <c r="C291" s="417"/>
      <c r="D291" s="417"/>
      <c r="E291" s="417"/>
      <c r="F291" s="418"/>
      <c r="G291" s="414"/>
      <c r="H291" s="414"/>
      <c r="I291" s="414"/>
      <c r="J291" s="421"/>
      <c r="K291" s="421"/>
      <c r="L291" s="421"/>
      <c r="M291" s="421"/>
      <c r="N291" s="412"/>
      <c r="O291" s="412"/>
      <c r="P291" s="412"/>
      <c r="Q291" s="412"/>
      <c r="R291" s="412"/>
      <c r="S291" s="412"/>
      <c r="T291" s="412"/>
      <c r="U291" s="412"/>
      <c r="V291" s="412"/>
      <c r="W291" s="412"/>
      <c r="X291" s="412"/>
      <c r="Y291" s="412"/>
      <c r="Z291" s="412"/>
      <c r="AA291" s="412"/>
      <c r="AB291" s="412"/>
      <c r="AC291" s="412"/>
      <c r="AD291" s="412"/>
      <c r="AE291" s="412"/>
      <c r="AF291" s="412"/>
      <c r="AG291" s="412"/>
      <c r="AH291" s="412"/>
      <c r="AI291" s="387">
        <f t="shared" si="139"/>
        <v>0</v>
      </c>
      <c r="AJ291" s="387">
        <f t="shared" si="140"/>
        <v>0</v>
      </c>
      <c r="AK291" s="387">
        <f t="shared" si="141"/>
        <v>0</v>
      </c>
      <c r="AL291" s="387">
        <f t="shared" si="137"/>
        <v>0</v>
      </c>
      <c r="AM291" s="388">
        <f t="shared" si="138"/>
        <v>0</v>
      </c>
    </row>
    <row r="292" spans="1:41" s="472" customFormat="1" hidden="1" x14ac:dyDescent="0.2">
      <c r="A292" s="502" t="s">
        <v>1150</v>
      </c>
      <c r="B292" s="381"/>
      <c r="C292" s="382"/>
      <c r="D292" s="382"/>
      <c r="E292" s="382"/>
      <c r="F292" s="383">
        <v>0</v>
      </c>
      <c r="G292" s="384"/>
      <c r="H292" s="384"/>
      <c r="I292" s="384"/>
      <c r="J292" s="1060">
        <v>0</v>
      </c>
      <c r="K292" s="1060"/>
      <c r="L292" s="1060"/>
      <c r="M292" s="1060"/>
      <c r="N292" s="1060">
        <v>0</v>
      </c>
      <c r="O292" s="1060"/>
      <c r="P292" s="1060"/>
      <c r="Q292" s="1060"/>
      <c r="R292" s="1060">
        <v>0</v>
      </c>
      <c r="S292" s="1060"/>
      <c r="T292" s="1060"/>
      <c r="U292" s="1060"/>
      <c r="V292" s="1060">
        <v>0</v>
      </c>
      <c r="W292" s="1060"/>
      <c r="X292" s="1060"/>
      <c r="Y292" s="1060"/>
      <c r="Z292" s="1060">
        <v>0</v>
      </c>
      <c r="AA292" s="1060"/>
      <c r="AB292" s="1060"/>
      <c r="AC292" s="1060"/>
      <c r="AD292" s="1060">
        <v>0</v>
      </c>
      <c r="AE292" s="1060"/>
      <c r="AF292" s="1060"/>
      <c r="AG292" s="1060"/>
      <c r="AH292" s="1060">
        <v>0</v>
      </c>
      <c r="AI292" s="387">
        <f t="shared" si="139"/>
        <v>0</v>
      </c>
      <c r="AJ292" s="387">
        <f t="shared" si="140"/>
        <v>0</v>
      </c>
      <c r="AK292" s="387">
        <f t="shared" si="141"/>
        <v>0</v>
      </c>
      <c r="AL292" s="387">
        <f t="shared" si="137"/>
        <v>0</v>
      </c>
      <c r="AM292" s="388">
        <f t="shared" si="138"/>
        <v>0</v>
      </c>
    </row>
    <row r="293" spans="1:41" ht="25.5" x14ac:dyDescent="0.2">
      <c r="A293" s="380" t="s">
        <v>710</v>
      </c>
      <c r="B293" s="381"/>
      <c r="C293" s="382"/>
      <c r="D293" s="382"/>
      <c r="E293" s="382"/>
      <c r="F293" s="383"/>
      <c r="G293" s="384"/>
      <c r="H293" s="384"/>
      <c r="I293" s="384"/>
      <c r="J293" s="405"/>
      <c r="K293" s="405"/>
      <c r="L293" s="405"/>
      <c r="M293" s="405"/>
      <c r="N293" s="422"/>
      <c r="O293" s="422"/>
      <c r="P293" s="422"/>
      <c r="Q293" s="422"/>
      <c r="R293" s="422"/>
      <c r="S293" s="422"/>
      <c r="T293" s="422"/>
      <c r="U293" s="422"/>
      <c r="V293" s="422"/>
      <c r="W293" s="422"/>
      <c r="X293" s="422"/>
      <c r="Y293" s="422"/>
      <c r="Z293" s="422"/>
      <c r="AA293" s="422"/>
      <c r="AB293" s="422"/>
      <c r="AC293" s="422"/>
      <c r="AD293" s="422"/>
      <c r="AE293" s="422"/>
      <c r="AF293" s="422"/>
      <c r="AG293" s="422"/>
      <c r="AH293" s="422"/>
      <c r="AI293" s="387">
        <f t="shared" si="139"/>
        <v>0</v>
      </c>
      <c r="AJ293" s="387">
        <f t="shared" si="140"/>
        <v>0</v>
      </c>
      <c r="AK293" s="387">
        <f t="shared" si="141"/>
        <v>0</v>
      </c>
      <c r="AL293" s="387">
        <f t="shared" si="137"/>
        <v>0</v>
      </c>
      <c r="AM293" s="388">
        <f t="shared" si="138"/>
        <v>0</v>
      </c>
    </row>
    <row r="294" spans="1:41" ht="25.5" x14ac:dyDescent="0.2">
      <c r="A294" s="380" t="s">
        <v>711</v>
      </c>
      <c r="B294" s="381"/>
      <c r="C294" s="382">
        <v>51376</v>
      </c>
      <c r="D294" s="382">
        <f>51376+116854</f>
        <v>168230</v>
      </c>
      <c r="E294" s="382">
        <v>538009.36199999996</v>
      </c>
      <c r="F294" s="383">
        <v>51376</v>
      </c>
      <c r="G294" s="384"/>
      <c r="H294" s="384"/>
      <c r="I294" s="384"/>
      <c r="J294" s="405"/>
      <c r="K294" s="405"/>
      <c r="L294" s="405"/>
      <c r="M294" s="405"/>
      <c r="N294" s="422"/>
      <c r="O294" s="422"/>
      <c r="P294" s="422"/>
      <c r="Q294" s="422"/>
      <c r="R294" s="422"/>
      <c r="S294" s="422"/>
      <c r="T294" s="422"/>
      <c r="U294" s="422"/>
      <c r="V294" s="422"/>
      <c r="W294" s="422"/>
      <c r="X294" s="422"/>
      <c r="Y294" s="422"/>
      <c r="Z294" s="422"/>
      <c r="AA294" s="422"/>
      <c r="AB294" s="422"/>
      <c r="AC294" s="422"/>
      <c r="AD294" s="422"/>
      <c r="AE294" s="422"/>
      <c r="AF294" s="422"/>
      <c r="AG294" s="422"/>
      <c r="AH294" s="422"/>
      <c r="AI294" s="387">
        <f t="shared" si="139"/>
        <v>51376</v>
      </c>
      <c r="AJ294" s="387">
        <f t="shared" si="140"/>
        <v>168230</v>
      </c>
      <c r="AK294" s="387">
        <f t="shared" si="141"/>
        <v>538009.36199999996</v>
      </c>
      <c r="AL294" s="387">
        <f t="shared" si="137"/>
        <v>51376</v>
      </c>
      <c r="AM294" s="388">
        <f t="shared" si="138"/>
        <v>0</v>
      </c>
    </row>
    <row r="295" spans="1:41" s="498" customFormat="1" ht="25.5" x14ac:dyDescent="0.2">
      <c r="A295" s="502" t="s">
        <v>712</v>
      </c>
      <c r="B295" s="381"/>
      <c r="C295" s="382">
        <v>4601631</v>
      </c>
      <c r="D295" s="382">
        <v>4601631</v>
      </c>
      <c r="E295" s="382">
        <v>5321830.0039999997</v>
      </c>
      <c r="F295" s="383">
        <v>4601631</v>
      </c>
      <c r="G295" s="503"/>
      <c r="H295" s="503"/>
      <c r="I295" s="503"/>
      <c r="J295" s="497"/>
      <c r="K295" s="497"/>
      <c r="L295" s="497"/>
      <c r="M295" s="497"/>
      <c r="N295" s="504"/>
      <c r="O295" s="504"/>
      <c r="P295" s="504"/>
      <c r="Q295" s="504"/>
      <c r="R295" s="504"/>
      <c r="S295" s="504"/>
      <c r="T295" s="504"/>
      <c r="U295" s="504"/>
      <c r="V295" s="504"/>
      <c r="W295" s="504"/>
      <c r="X295" s="504"/>
      <c r="Y295" s="504"/>
      <c r="Z295" s="504"/>
      <c r="AA295" s="504"/>
      <c r="AB295" s="504"/>
      <c r="AC295" s="504"/>
      <c r="AD295" s="504"/>
      <c r="AE295" s="504"/>
      <c r="AF295" s="504"/>
      <c r="AG295" s="504"/>
      <c r="AH295" s="504"/>
      <c r="AI295" s="387">
        <f t="shared" si="139"/>
        <v>4601631</v>
      </c>
      <c r="AJ295" s="387">
        <f t="shared" si="140"/>
        <v>4601631</v>
      </c>
      <c r="AK295" s="387">
        <f t="shared" si="141"/>
        <v>5321830.0039999997</v>
      </c>
      <c r="AL295" s="387">
        <f t="shared" si="137"/>
        <v>4601631</v>
      </c>
      <c r="AM295" s="388">
        <f t="shared" si="138"/>
        <v>0</v>
      </c>
    </row>
    <row r="296" spans="1:41" ht="25.5" x14ac:dyDescent="0.2">
      <c r="A296" s="380" t="s">
        <v>713</v>
      </c>
      <c r="B296" s="381"/>
      <c r="C296" s="382">
        <v>1100000</v>
      </c>
      <c r="D296" s="382">
        <v>1100000</v>
      </c>
      <c r="E296" s="382">
        <v>2500000</v>
      </c>
      <c r="F296" s="383">
        <v>1100000</v>
      </c>
      <c r="G296" s="384"/>
      <c r="H296" s="384"/>
      <c r="I296" s="384"/>
      <c r="J296" s="405"/>
      <c r="K296" s="405"/>
      <c r="L296" s="405"/>
      <c r="M296" s="405"/>
      <c r="N296" s="422"/>
      <c r="O296" s="422"/>
      <c r="P296" s="422"/>
      <c r="Q296" s="422"/>
      <c r="R296" s="422"/>
      <c r="S296" s="422"/>
      <c r="T296" s="422"/>
      <c r="U296" s="422"/>
      <c r="V296" s="422"/>
      <c r="W296" s="422"/>
      <c r="X296" s="422"/>
      <c r="Y296" s="422"/>
      <c r="Z296" s="422"/>
      <c r="AA296" s="422"/>
      <c r="AB296" s="422"/>
      <c r="AC296" s="422"/>
      <c r="AD296" s="422"/>
      <c r="AE296" s="422"/>
      <c r="AF296" s="422"/>
      <c r="AG296" s="422"/>
      <c r="AH296" s="422"/>
      <c r="AI296" s="387">
        <f t="shared" si="139"/>
        <v>1100000</v>
      </c>
      <c r="AJ296" s="387">
        <f t="shared" si="140"/>
        <v>1100000</v>
      </c>
      <c r="AK296" s="387">
        <f t="shared" si="141"/>
        <v>2500000</v>
      </c>
      <c r="AL296" s="387">
        <f t="shared" si="137"/>
        <v>1100000</v>
      </c>
      <c r="AM296" s="388">
        <f t="shared" si="138"/>
        <v>0</v>
      </c>
    </row>
    <row r="297" spans="1:41" x14ac:dyDescent="0.2">
      <c r="A297" s="531" t="s">
        <v>730</v>
      </c>
      <c r="B297" s="381"/>
      <c r="C297" s="393">
        <v>40000</v>
      </c>
      <c r="D297" s="393">
        <v>40000</v>
      </c>
      <c r="E297" s="382"/>
      <c r="F297" s="418">
        <v>40000</v>
      </c>
      <c r="G297" s="384"/>
      <c r="H297" s="384"/>
      <c r="I297" s="384"/>
      <c r="J297" s="405"/>
      <c r="K297" s="405"/>
      <c r="L297" s="405"/>
      <c r="M297" s="405"/>
      <c r="N297" s="422"/>
      <c r="O297" s="422"/>
      <c r="P297" s="422"/>
      <c r="Q297" s="422"/>
      <c r="R297" s="422"/>
      <c r="S297" s="422"/>
      <c r="T297" s="422"/>
      <c r="U297" s="422"/>
      <c r="V297" s="422"/>
      <c r="W297" s="422"/>
      <c r="X297" s="422"/>
      <c r="Y297" s="422"/>
      <c r="Z297" s="422"/>
      <c r="AA297" s="422"/>
      <c r="AB297" s="422"/>
      <c r="AC297" s="422"/>
      <c r="AD297" s="422"/>
      <c r="AE297" s="422"/>
      <c r="AF297" s="422"/>
      <c r="AG297" s="422"/>
      <c r="AH297" s="422"/>
      <c r="AI297" s="387">
        <f t="shared" si="139"/>
        <v>40000</v>
      </c>
      <c r="AJ297" s="387"/>
      <c r="AK297" s="387"/>
      <c r="AL297" s="387"/>
      <c r="AM297" s="388"/>
    </row>
    <row r="298" spans="1:41" hidden="1" x14ac:dyDescent="0.2">
      <c r="A298" s="380" t="s">
        <v>714</v>
      </c>
      <c r="B298" s="381"/>
      <c r="C298" s="382"/>
      <c r="D298" s="382"/>
      <c r="E298" s="382"/>
      <c r="F298" s="495"/>
      <c r="G298" s="496"/>
      <c r="H298" s="496"/>
      <c r="I298" s="496"/>
      <c r="J298" s="405"/>
      <c r="K298" s="405"/>
      <c r="L298" s="405"/>
      <c r="M298" s="405"/>
      <c r="N298" s="422"/>
      <c r="O298" s="422"/>
      <c r="P298" s="422"/>
      <c r="Q298" s="422"/>
      <c r="R298" s="422"/>
      <c r="S298" s="422"/>
      <c r="T298" s="422"/>
      <c r="U298" s="422"/>
      <c r="V298" s="422"/>
      <c r="W298" s="422"/>
      <c r="X298" s="422"/>
      <c r="Y298" s="422"/>
      <c r="Z298" s="422"/>
      <c r="AA298" s="422"/>
      <c r="AB298" s="422"/>
      <c r="AC298" s="422"/>
      <c r="AD298" s="422"/>
      <c r="AE298" s="422"/>
      <c r="AF298" s="422"/>
      <c r="AG298" s="422"/>
      <c r="AH298" s="422"/>
      <c r="AI298" s="387">
        <f t="shared" ref="AI298:AI314" si="142">C298+G298+K298+O298+S298+W298+AA298+AE298</f>
        <v>0</v>
      </c>
      <c r="AJ298" s="387">
        <f t="shared" ref="AJ298:AJ315" si="143">D298+H298+L298+P298+T298+X298+AB298+AF298</f>
        <v>0</v>
      </c>
      <c r="AK298" s="387">
        <f t="shared" ref="AK298:AK315" si="144">E298+I298+M298+Q298+U298+Y298+AC298+AG298</f>
        <v>0</v>
      </c>
      <c r="AL298" s="387">
        <f t="shared" si="137"/>
        <v>0</v>
      </c>
      <c r="AM298" s="388">
        <f t="shared" si="138"/>
        <v>0</v>
      </c>
    </row>
    <row r="299" spans="1:41" ht="25.5" hidden="1" x14ac:dyDescent="0.2">
      <c r="A299" s="380" t="s">
        <v>715</v>
      </c>
      <c r="B299" s="381"/>
      <c r="C299" s="382"/>
      <c r="D299" s="382"/>
      <c r="E299" s="382"/>
      <c r="F299" s="495"/>
      <c r="G299" s="496"/>
      <c r="H299" s="496"/>
      <c r="I299" s="496"/>
      <c r="J299" s="405"/>
      <c r="K299" s="405"/>
      <c r="L299" s="405"/>
      <c r="M299" s="405"/>
      <c r="N299" s="422"/>
      <c r="O299" s="422"/>
      <c r="P299" s="422"/>
      <c r="Q299" s="422"/>
      <c r="R299" s="422"/>
      <c r="S299" s="422"/>
      <c r="T299" s="422"/>
      <c r="U299" s="422"/>
      <c r="V299" s="422"/>
      <c r="W299" s="422"/>
      <c r="X299" s="422"/>
      <c r="Y299" s="422"/>
      <c r="Z299" s="422"/>
      <c r="AA299" s="422"/>
      <c r="AB299" s="422"/>
      <c r="AC299" s="422"/>
      <c r="AD299" s="422"/>
      <c r="AE299" s="422"/>
      <c r="AF299" s="422"/>
      <c r="AG299" s="422"/>
      <c r="AH299" s="422"/>
      <c r="AI299" s="387">
        <f t="shared" si="142"/>
        <v>0</v>
      </c>
      <c r="AJ299" s="387">
        <f t="shared" si="143"/>
        <v>0</v>
      </c>
      <c r="AK299" s="387">
        <f t="shared" si="144"/>
        <v>0</v>
      </c>
      <c r="AL299" s="387">
        <f t="shared" si="137"/>
        <v>0</v>
      </c>
      <c r="AM299" s="388">
        <f t="shared" si="138"/>
        <v>0</v>
      </c>
    </row>
    <row r="300" spans="1:41" s="398" customFormat="1" ht="25.5" hidden="1" x14ac:dyDescent="0.2">
      <c r="A300" s="380" t="s">
        <v>716</v>
      </c>
      <c r="B300" s="392"/>
      <c r="C300" s="393"/>
      <c r="D300" s="393"/>
      <c r="E300" s="393"/>
      <c r="F300" s="418"/>
      <c r="G300" s="414"/>
      <c r="H300" s="414"/>
      <c r="I300" s="414"/>
      <c r="J300" s="396"/>
      <c r="K300" s="396"/>
      <c r="L300" s="396"/>
      <c r="M300" s="396"/>
      <c r="N300" s="396"/>
      <c r="O300" s="396"/>
      <c r="P300" s="396"/>
      <c r="Q300" s="396"/>
      <c r="R300" s="412"/>
      <c r="S300" s="412"/>
      <c r="T300" s="412"/>
      <c r="U300" s="412"/>
      <c r="V300" s="412"/>
      <c r="W300" s="412"/>
      <c r="X300" s="412"/>
      <c r="Y300" s="412"/>
      <c r="Z300" s="412"/>
      <c r="AA300" s="412"/>
      <c r="AB300" s="412"/>
      <c r="AC300" s="412"/>
      <c r="AD300" s="412"/>
      <c r="AE300" s="412"/>
      <c r="AF300" s="412"/>
      <c r="AG300" s="412"/>
      <c r="AH300" s="412"/>
      <c r="AI300" s="387">
        <f t="shared" si="142"/>
        <v>0</v>
      </c>
      <c r="AJ300" s="387">
        <f t="shared" si="143"/>
        <v>0</v>
      </c>
      <c r="AK300" s="387">
        <f t="shared" si="144"/>
        <v>0</v>
      </c>
      <c r="AL300" s="387">
        <f t="shared" si="137"/>
        <v>0</v>
      </c>
      <c r="AM300" s="388">
        <f t="shared" si="138"/>
        <v>0</v>
      </c>
    </row>
    <row r="301" spans="1:41" s="398" customFormat="1" ht="25.5" hidden="1" x14ac:dyDescent="0.2">
      <c r="A301" s="380" t="s">
        <v>717</v>
      </c>
      <c r="B301" s="392"/>
      <c r="C301" s="393"/>
      <c r="D301" s="393"/>
      <c r="E301" s="393"/>
      <c r="F301" s="418"/>
      <c r="G301" s="414"/>
      <c r="H301" s="414"/>
      <c r="I301" s="414"/>
      <c r="J301" s="396"/>
      <c r="K301" s="396"/>
      <c r="L301" s="396"/>
      <c r="M301" s="396"/>
      <c r="N301" s="396"/>
      <c r="O301" s="396"/>
      <c r="P301" s="396"/>
      <c r="Q301" s="396"/>
      <c r="R301" s="412"/>
      <c r="S301" s="412"/>
      <c r="T301" s="412"/>
      <c r="U301" s="412"/>
      <c r="V301" s="412"/>
      <c r="W301" s="412"/>
      <c r="X301" s="412"/>
      <c r="Y301" s="412"/>
      <c r="Z301" s="412"/>
      <c r="AA301" s="412"/>
      <c r="AB301" s="412"/>
      <c r="AC301" s="412"/>
      <c r="AD301" s="412"/>
      <c r="AE301" s="412"/>
      <c r="AF301" s="412"/>
      <c r="AG301" s="412"/>
      <c r="AH301" s="412"/>
      <c r="AI301" s="387">
        <f t="shared" si="142"/>
        <v>0</v>
      </c>
      <c r="AJ301" s="387">
        <f t="shared" si="143"/>
        <v>0</v>
      </c>
      <c r="AK301" s="387">
        <f t="shared" si="144"/>
        <v>0</v>
      </c>
      <c r="AL301" s="387">
        <f t="shared" si="137"/>
        <v>0</v>
      </c>
      <c r="AM301" s="388">
        <f t="shared" si="138"/>
        <v>0</v>
      </c>
    </row>
    <row r="302" spans="1:41" s="472" customFormat="1" hidden="1" x14ac:dyDescent="0.2">
      <c r="A302" s="502" t="s">
        <v>1151</v>
      </c>
      <c r="B302" s="381"/>
      <c r="C302" s="382"/>
      <c r="D302" s="382"/>
      <c r="E302" s="382"/>
      <c r="F302" s="383">
        <v>0</v>
      </c>
      <c r="G302" s="384"/>
      <c r="H302" s="384"/>
      <c r="I302" s="384"/>
      <c r="J302" s="1060">
        <v>0</v>
      </c>
      <c r="K302" s="1060"/>
      <c r="L302" s="1060"/>
      <c r="M302" s="1060"/>
      <c r="N302" s="1060">
        <v>0</v>
      </c>
      <c r="O302" s="1060"/>
      <c r="P302" s="1060"/>
      <c r="Q302" s="1060"/>
      <c r="R302" s="1060">
        <v>0</v>
      </c>
      <c r="S302" s="1060"/>
      <c r="T302" s="1060"/>
      <c r="U302" s="1060"/>
      <c r="V302" s="1060">
        <v>0</v>
      </c>
      <c r="W302" s="1060"/>
      <c r="X302" s="1060"/>
      <c r="Y302" s="1060"/>
      <c r="Z302" s="1060">
        <v>0</v>
      </c>
      <c r="AA302" s="1060"/>
      <c r="AB302" s="1060"/>
      <c r="AC302" s="1060"/>
      <c r="AD302" s="1060">
        <v>0</v>
      </c>
      <c r="AE302" s="1060"/>
      <c r="AF302" s="1060"/>
      <c r="AG302" s="1060"/>
      <c r="AH302" s="1060">
        <v>0</v>
      </c>
      <c r="AI302" s="387">
        <f t="shared" si="142"/>
        <v>0</v>
      </c>
      <c r="AJ302" s="387">
        <f t="shared" si="143"/>
        <v>0</v>
      </c>
      <c r="AK302" s="387">
        <f t="shared" si="144"/>
        <v>0</v>
      </c>
      <c r="AL302" s="387">
        <f t="shared" si="137"/>
        <v>0</v>
      </c>
      <c r="AM302" s="388">
        <f t="shared" si="138"/>
        <v>0</v>
      </c>
    </row>
    <row r="303" spans="1:41" s="505" customFormat="1" x14ac:dyDescent="0.2">
      <c r="A303" s="399" t="s">
        <v>1152</v>
      </c>
      <c r="B303" s="400"/>
      <c r="C303" s="407">
        <f>+C292+C293+C294+C295+C296+C302</f>
        <v>5753007</v>
      </c>
      <c r="D303" s="407">
        <f>+D292+D293+D294+D295+D296+D302</f>
        <v>5869861</v>
      </c>
      <c r="E303" s="407">
        <v>8359839.3659999995</v>
      </c>
      <c r="F303" s="407">
        <f>+F294+F295+F296</f>
        <v>5753007</v>
      </c>
      <c r="G303" s="407">
        <f>+G292+G293+G294+G295+G296+G302</f>
        <v>0</v>
      </c>
      <c r="H303" s="407">
        <f>+H292+H293+H294+H295+H296+H302</f>
        <v>0</v>
      </c>
      <c r="I303" s="407">
        <v>0</v>
      </c>
      <c r="J303" s="448">
        <v>0</v>
      </c>
      <c r="K303" s="407">
        <f>+K292+K293+K294+K295+K296+K302</f>
        <v>0</v>
      </c>
      <c r="L303" s="407">
        <f>+L292+L293+L294+L295+L296+L302</f>
        <v>0</v>
      </c>
      <c r="M303" s="448"/>
      <c r="N303" s="448">
        <v>0</v>
      </c>
      <c r="O303" s="407">
        <f>+O292+O293+O294+O295+O296+O302</f>
        <v>0</v>
      </c>
      <c r="P303" s="407">
        <f>+P292+P293+P294+P295+P296+P302</f>
        <v>0</v>
      </c>
      <c r="Q303" s="448"/>
      <c r="R303" s="448">
        <v>0</v>
      </c>
      <c r="S303" s="407">
        <f>+S292+S293+S294+S295+S296+S302</f>
        <v>0</v>
      </c>
      <c r="T303" s="407">
        <f>+T292+T293+T294+T295+T296+T302</f>
        <v>0</v>
      </c>
      <c r="U303" s="448"/>
      <c r="V303" s="448">
        <v>0</v>
      </c>
      <c r="W303" s="407">
        <f>+W292+W293+W294+W295+W296+W302</f>
        <v>0</v>
      </c>
      <c r="X303" s="407">
        <f>+X292+X293+X294+X295+X296+X302</f>
        <v>0</v>
      </c>
      <c r="Y303" s="448"/>
      <c r="Z303" s="448">
        <v>0</v>
      </c>
      <c r="AA303" s="407">
        <f>+AA292+AA293+AA294+AA295+AA296+AA302</f>
        <v>0</v>
      </c>
      <c r="AB303" s="407">
        <f>+AB292+AB293+AB294+AB295+AB296+AB302</f>
        <v>0</v>
      </c>
      <c r="AC303" s="448"/>
      <c r="AD303" s="448">
        <v>0</v>
      </c>
      <c r="AE303" s="407">
        <f>+AE292+AE293+AE294+AE295+AE296+AE302</f>
        <v>0</v>
      </c>
      <c r="AF303" s="407">
        <f>+AF292+AF293+AF294+AF295+AF296+AF302</f>
        <v>0</v>
      </c>
      <c r="AG303" s="448"/>
      <c r="AH303" s="448">
        <v>0</v>
      </c>
      <c r="AI303" s="387">
        <f t="shared" si="142"/>
        <v>5753007</v>
      </c>
      <c r="AJ303" s="387">
        <f t="shared" si="143"/>
        <v>5869861</v>
      </c>
      <c r="AK303" s="387">
        <f t="shared" si="144"/>
        <v>8359839.3659999995</v>
      </c>
      <c r="AL303" s="387">
        <f t="shared" si="137"/>
        <v>5753007</v>
      </c>
      <c r="AM303" s="388">
        <f t="shared" si="138"/>
        <v>0</v>
      </c>
      <c r="AO303" s="400"/>
    </row>
    <row r="304" spans="1:41" ht="25.5" hidden="1" x14ac:dyDescent="0.2">
      <c r="A304" s="380" t="s">
        <v>718</v>
      </c>
      <c r="B304" s="381"/>
      <c r="C304" s="382"/>
      <c r="D304" s="382"/>
      <c r="E304" s="382"/>
      <c r="F304" s="383"/>
      <c r="G304" s="382"/>
      <c r="H304" s="382"/>
      <c r="I304" s="383"/>
      <c r="J304" s="405"/>
      <c r="K304" s="382"/>
      <c r="L304" s="382"/>
      <c r="M304" s="405"/>
      <c r="N304" s="422"/>
      <c r="O304" s="382"/>
      <c r="P304" s="382"/>
      <c r="Q304" s="422"/>
      <c r="R304" s="422"/>
      <c r="S304" s="382"/>
      <c r="T304" s="382"/>
      <c r="U304" s="422"/>
      <c r="V304" s="422"/>
      <c r="W304" s="382"/>
      <c r="X304" s="382"/>
      <c r="Y304" s="422"/>
      <c r="Z304" s="422"/>
      <c r="AA304" s="382"/>
      <c r="AB304" s="382"/>
      <c r="AC304" s="422"/>
      <c r="AD304" s="422"/>
      <c r="AE304" s="382"/>
      <c r="AF304" s="382"/>
      <c r="AG304" s="422"/>
      <c r="AH304" s="422"/>
      <c r="AI304" s="387">
        <f t="shared" si="142"/>
        <v>0</v>
      </c>
      <c r="AJ304" s="387">
        <f t="shared" si="143"/>
        <v>0</v>
      </c>
      <c r="AK304" s="387">
        <f t="shared" si="144"/>
        <v>0</v>
      </c>
      <c r="AL304" s="387">
        <f t="shared" si="137"/>
        <v>0</v>
      </c>
      <c r="AM304" s="388">
        <f t="shared" si="138"/>
        <v>0</v>
      </c>
    </row>
    <row r="305" spans="1:39" ht="25.5" hidden="1" x14ac:dyDescent="0.2">
      <c r="A305" s="380" t="s">
        <v>719</v>
      </c>
      <c r="B305" s="381"/>
      <c r="C305" s="382"/>
      <c r="D305" s="382"/>
      <c r="E305" s="382"/>
      <c r="F305" s="495"/>
      <c r="G305" s="382"/>
      <c r="H305" s="382"/>
      <c r="I305" s="495"/>
      <c r="J305" s="405"/>
      <c r="K305" s="382"/>
      <c r="L305" s="382"/>
      <c r="M305" s="405"/>
      <c r="N305" s="422"/>
      <c r="O305" s="382"/>
      <c r="P305" s="382"/>
      <c r="Q305" s="422"/>
      <c r="R305" s="422"/>
      <c r="S305" s="382"/>
      <c r="T305" s="382"/>
      <c r="U305" s="422"/>
      <c r="V305" s="422"/>
      <c r="W305" s="382"/>
      <c r="X305" s="382"/>
      <c r="Y305" s="422"/>
      <c r="Z305" s="422"/>
      <c r="AA305" s="382"/>
      <c r="AB305" s="382"/>
      <c r="AC305" s="422"/>
      <c r="AD305" s="422"/>
      <c r="AE305" s="382"/>
      <c r="AF305" s="382"/>
      <c r="AG305" s="422"/>
      <c r="AH305" s="422"/>
      <c r="AI305" s="387">
        <f t="shared" si="142"/>
        <v>0</v>
      </c>
      <c r="AJ305" s="387">
        <f t="shared" si="143"/>
        <v>0</v>
      </c>
      <c r="AK305" s="387">
        <f t="shared" si="144"/>
        <v>0</v>
      </c>
      <c r="AL305" s="387">
        <f t="shared" si="137"/>
        <v>0</v>
      </c>
      <c r="AM305" s="388">
        <f t="shared" si="138"/>
        <v>0</v>
      </c>
    </row>
    <row r="306" spans="1:39" ht="29.25" hidden="1" customHeight="1" x14ac:dyDescent="0.2">
      <c r="A306" s="380" t="s">
        <v>720</v>
      </c>
      <c r="B306" s="381"/>
      <c r="C306" s="382"/>
      <c r="D306" s="382"/>
      <c r="E306" s="382"/>
      <c r="F306" s="495"/>
      <c r="G306" s="382"/>
      <c r="H306" s="382"/>
      <c r="I306" s="495"/>
      <c r="J306" s="405"/>
      <c r="K306" s="382"/>
      <c r="L306" s="382"/>
      <c r="M306" s="405"/>
      <c r="N306" s="422"/>
      <c r="O306" s="382"/>
      <c r="P306" s="382"/>
      <c r="Q306" s="422"/>
      <c r="R306" s="422"/>
      <c r="S306" s="382"/>
      <c r="T306" s="382"/>
      <c r="U306" s="422"/>
      <c r="V306" s="422"/>
      <c r="W306" s="382"/>
      <c r="X306" s="382"/>
      <c r="Y306" s="422"/>
      <c r="Z306" s="422"/>
      <c r="AA306" s="382"/>
      <c r="AB306" s="382"/>
      <c r="AC306" s="422"/>
      <c r="AD306" s="422"/>
      <c r="AE306" s="382"/>
      <c r="AF306" s="382"/>
      <c r="AG306" s="422"/>
      <c r="AH306" s="422"/>
      <c r="AI306" s="387">
        <f t="shared" si="142"/>
        <v>0</v>
      </c>
      <c r="AJ306" s="387">
        <f t="shared" si="143"/>
        <v>0</v>
      </c>
      <c r="AK306" s="387">
        <f t="shared" si="144"/>
        <v>0</v>
      </c>
      <c r="AL306" s="387">
        <f t="shared" si="137"/>
        <v>0</v>
      </c>
      <c r="AM306" s="388">
        <f t="shared" si="138"/>
        <v>0</v>
      </c>
    </row>
    <row r="307" spans="1:39" s="419" customFormat="1" ht="25.5" hidden="1" x14ac:dyDescent="0.2">
      <c r="A307" s="391" t="s">
        <v>721</v>
      </c>
      <c r="B307" s="416"/>
      <c r="C307" s="417"/>
      <c r="D307" s="417"/>
      <c r="E307" s="417"/>
      <c r="F307" s="418"/>
      <c r="G307" s="417"/>
      <c r="H307" s="417"/>
      <c r="I307" s="418"/>
      <c r="J307" s="421"/>
      <c r="K307" s="417"/>
      <c r="L307" s="417"/>
      <c r="M307" s="421"/>
      <c r="N307" s="412"/>
      <c r="O307" s="417"/>
      <c r="P307" s="417"/>
      <c r="Q307" s="412"/>
      <c r="R307" s="412"/>
      <c r="S307" s="417"/>
      <c r="T307" s="417"/>
      <c r="U307" s="412"/>
      <c r="V307" s="412"/>
      <c r="W307" s="417"/>
      <c r="X307" s="417"/>
      <c r="Y307" s="412"/>
      <c r="Z307" s="412"/>
      <c r="AA307" s="417"/>
      <c r="AB307" s="417"/>
      <c r="AC307" s="412"/>
      <c r="AD307" s="412"/>
      <c r="AE307" s="417"/>
      <c r="AF307" s="417"/>
      <c r="AG307" s="412"/>
      <c r="AH307" s="412"/>
      <c r="AI307" s="387">
        <f t="shared" si="142"/>
        <v>0</v>
      </c>
      <c r="AJ307" s="387">
        <f t="shared" si="143"/>
        <v>0</v>
      </c>
      <c r="AK307" s="387">
        <f t="shared" si="144"/>
        <v>0</v>
      </c>
      <c r="AL307" s="387">
        <f t="shared" si="137"/>
        <v>0</v>
      </c>
      <c r="AM307" s="388">
        <f t="shared" si="138"/>
        <v>0</v>
      </c>
    </row>
    <row r="308" spans="1:39" ht="38.25" hidden="1" x14ac:dyDescent="0.2">
      <c r="A308" s="380" t="s">
        <v>722</v>
      </c>
      <c r="B308" s="381"/>
      <c r="C308" s="382"/>
      <c r="D308" s="382"/>
      <c r="E308" s="382"/>
      <c r="F308" s="383"/>
      <c r="G308" s="382"/>
      <c r="H308" s="382"/>
      <c r="I308" s="383"/>
      <c r="J308" s="405"/>
      <c r="K308" s="382"/>
      <c r="L308" s="382"/>
      <c r="M308" s="405"/>
      <c r="N308" s="422"/>
      <c r="O308" s="382"/>
      <c r="P308" s="382"/>
      <c r="Q308" s="422"/>
      <c r="R308" s="422"/>
      <c r="S308" s="382"/>
      <c r="T308" s="382"/>
      <c r="U308" s="422"/>
      <c r="V308" s="422"/>
      <c r="W308" s="382"/>
      <c r="X308" s="382"/>
      <c r="Y308" s="422"/>
      <c r="Z308" s="422"/>
      <c r="AA308" s="382"/>
      <c r="AB308" s="382"/>
      <c r="AC308" s="422"/>
      <c r="AD308" s="422"/>
      <c r="AE308" s="382"/>
      <c r="AF308" s="382"/>
      <c r="AG308" s="422"/>
      <c r="AH308" s="422"/>
      <c r="AI308" s="387">
        <f t="shared" si="142"/>
        <v>0</v>
      </c>
      <c r="AJ308" s="387">
        <f t="shared" si="143"/>
        <v>0</v>
      </c>
      <c r="AK308" s="387">
        <f t="shared" si="144"/>
        <v>0</v>
      </c>
      <c r="AL308" s="387">
        <f t="shared" si="137"/>
        <v>0</v>
      </c>
      <c r="AM308" s="388">
        <f t="shared" si="138"/>
        <v>0</v>
      </c>
    </row>
    <row r="309" spans="1:39" ht="25.5" hidden="1" x14ac:dyDescent="0.2">
      <c r="A309" s="380" t="s">
        <v>723</v>
      </c>
      <c r="B309" s="381"/>
      <c r="C309" s="382"/>
      <c r="D309" s="382"/>
      <c r="E309" s="382"/>
      <c r="F309" s="383"/>
      <c r="G309" s="382"/>
      <c r="H309" s="382"/>
      <c r="I309" s="383"/>
      <c r="J309" s="296"/>
      <c r="K309" s="382"/>
      <c r="L309" s="382"/>
      <c r="M309" s="296"/>
      <c r="N309" s="296"/>
      <c r="O309" s="382"/>
      <c r="P309" s="382"/>
      <c r="Q309" s="296"/>
      <c r="R309" s="422"/>
      <c r="S309" s="382"/>
      <c r="T309" s="382"/>
      <c r="U309" s="422"/>
      <c r="V309" s="422"/>
      <c r="W309" s="382"/>
      <c r="X309" s="382"/>
      <c r="Y309" s="422"/>
      <c r="Z309" s="422"/>
      <c r="AA309" s="382"/>
      <c r="AB309" s="382"/>
      <c r="AC309" s="422"/>
      <c r="AD309" s="422"/>
      <c r="AE309" s="382"/>
      <c r="AF309" s="382"/>
      <c r="AG309" s="422"/>
      <c r="AH309" s="422"/>
      <c r="AI309" s="387">
        <f t="shared" si="142"/>
        <v>0</v>
      </c>
      <c r="AJ309" s="387">
        <f t="shared" si="143"/>
        <v>0</v>
      </c>
      <c r="AK309" s="387">
        <f t="shared" si="144"/>
        <v>0</v>
      </c>
      <c r="AL309" s="387">
        <f t="shared" si="137"/>
        <v>0</v>
      </c>
      <c r="AM309" s="388">
        <f t="shared" si="138"/>
        <v>0</v>
      </c>
    </row>
    <row r="310" spans="1:39" s="419" customFormat="1" ht="25.5" hidden="1" x14ac:dyDescent="0.2">
      <c r="A310" s="391" t="s">
        <v>724</v>
      </c>
      <c r="B310" s="416"/>
      <c r="C310" s="417"/>
      <c r="D310" s="417"/>
      <c r="E310" s="417"/>
      <c r="F310" s="418"/>
      <c r="G310" s="417"/>
      <c r="H310" s="417"/>
      <c r="I310" s="418"/>
      <c r="J310" s="446"/>
      <c r="K310" s="417"/>
      <c r="L310" s="417"/>
      <c r="M310" s="446"/>
      <c r="N310" s="412"/>
      <c r="O310" s="417"/>
      <c r="P310" s="417"/>
      <c r="Q310" s="412"/>
      <c r="R310" s="412"/>
      <c r="S310" s="417"/>
      <c r="T310" s="417"/>
      <c r="U310" s="412"/>
      <c r="V310" s="412"/>
      <c r="W310" s="417"/>
      <c r="X310" s="417"/>
      <c r="Y310" s="412"/>
      <c r="Z310" s="412"/>
      <c r="AA310" s="417"/>
      <c r="AB310" s="417"/>
      <c r="AC310" s="412"/>
      <c r="AD310" s="412"/>
      <c r="AE310" s="417"/>
      <c r="AF310" s="417"/>
      <c r="AG310" s="412"/>
      <c r="AH310" s="412"/>
      <c r="AI310" s="387">
        <f t="shared" si="142"/>
        <v>0</v>
      </c>
      <c r="AJ310" s="387">
        <f t="shared" si="143"/>
        <v>0</v>
      </c>
      <c r="AK310" s="387">
        <f t="shared" si="144"/>
        <v>0</v>
      </c>
      <c r="AL310" s="387">
        <f t="shared" si="137"/>
        <v>0</v>
      </c>
      <c r="AM310" s="388">
        <f t="shared" si="138"/>
        <v>0</v>
      </c>
    </row>
    <row r="311" spans="1:39" s="400" customFormat="1" ht="25.5" hidden="1" x14ac:dyDescent="0.25">
      <c r="A311" s="399" t="s">
        <v>725</v>
      </c>
      <c r="C311" s="401"/>
      <c r="D311" s="401"/>
      <c r="E311" s="401"/>
      <c r="F311" s="506">
        <v>0</v>
      </c>
      <c r="G311" s="401"/>
      <c r="H311" s="401"/>
      <c r="I311" s="506">
        <v>0</v>
      </c>
      <c r="J311" s="507">
        <v>0</v>
      </c>
      <c r="K311" s="401"/>
      <c r="L311" s="401"/>
      <c r="M311" s="507"/>
      <c r="N311" s="507">
        <v>0</v>
      </c>
      <c r="O311" s="401"/>
      <c r="P311" s="401"/>
      <c r="Q311" s="507"/>
      <c r="R311" s="507">
        <v>0</v>
      </c>
      <c r="S311" s="401"/>
      <c r="T311" s="401"/>
      <c r="U311" s="507"/>
      <c r="V311" s="507">
        <v>0</v>
      </c>
      <c r="W311" s="401"/>
      <c r="X311" s="401"/>
      <c r="Y311" s="507"/>
      <c r="Z311" s="507">
        <v>0</v>
      </c>
      <c r="AA311" s="401"/>
      <c r="AB311" s="401"/>
      <c r="AC311" s="507"/>
      <c r="AD311" s="507">
        <v>0</v>
      </c>
      <c r="AE311" s="401"/>
      <c r="AF311" s="401"/>
      <c r="AG311" s="507"/>
      <c r="AH311" s="507">
        <v>0</v>
      </c>
      <c r="AI311" s="387">
        <f t="shared" si="142"/>
        <v>0</v>
      </c>
      <c r="AJ311" s="387">
        <f t="shared" si="143"/>
        <v>0</v>
      </c>
      <c r="AK311" s="387">
        <f t="shared" si="144"/>
        <v>0</v>
      </c>
      <c r="AL311" s="387">
        <f t="shared" si="137"/>
        <v>0</v>
      </c>
      <c r="AM311" s="388">
        <f t="shared" si="138"/>
        <v>0</v>
      </c>
    </row>
    <row r="312" spans="1:39" s="437" customFormat="1" ht="25.5" hidden="1" x14ac:dyDescent="0.25">
      <c r="A312" s="430" t="s">
        <v>726</v>
      </c>
      <c r="B312" s="431"/>
      <c r="C312" s="432"/>
      <c r="D312" s="432"/>
      <c r="E312" s="432"/>
      <c r="F312" s="489"/>
      <c r="G312" s="432"/>
      <c r="H312" s="432"/>
      <c r="I312" s="489"/>
      <c r="J312" s="508"/>
      <c r="K312" s="432"/>
      <c r="L312" s="432"/>
      <c r="M312" s="508"/>
      <c r="N312" s="435"/>
      <c r="O312" s="432"/>
      <c r="P312" s="432"/>
      <c r="Q312" s="435"/>
      <c r="R312" s="436"/>
      <c r="S312" s="432"/>
      <c r="T312" s="432"/>
      <c r="U312" s="436"/>
      <c r="V312" s="436"/>
      <c r="W312" s="432"/>
      <c r="X312" s="432"/>
      <c r="Y312" s="436"/>
      <c r="Z312" s="436"/>
      <c r="AA312" s="432"/>
      <c r="AB312" s="432"/>
      <c r="AC312" s="436"/>
      <c r="AD312" s="436"/>
      <c r="AE312" s="432"/>
      <c r="AF312" s="432"/>
      <c r="AG312" s="436"/>
      <c r="AH312" s="436"/>
      <c r="AI312" s="387">
        <f t="shared" si="142"/>
        <v>0</v>
      </c>
      <c r="AJ312" s="387">
        <f t="shared" si="143"/>
        <v>0</v>
      </c>
      <c r="AK312" s="387">
        <f t="shared" si="144"/>
        <v>0</v>
      </c>
      <c r="AL312" s="387">
        <f t="shared" si="137"/>
        <v>0</v>
      </c>
      <c r="AM312" s="388">
        <f t="shared" si="138"/>
        <v>0</v>
      </c>
    </row>
    <row r="313" spans="1:39" s="437" customFormat="1" hidden="1" x14ac:dyDescent="0.25">
      <c r="A313" s="430" t="s">
        <v>727</v>
      </c>
      <c r="B313" s="431"/>
      <c r="C313" s="432"/>
      <c r="D313" s="432"/>
      <c r="E313" s="432"/>
      <c r="F313" s="509"/>
      <c r="G313" s="432"/>
      <c r="H313" s="432"/>
      <c r="I313" s="509"/>
      <c r="J313" s="510"/>
      <c r="K313" s="432"/>
      <c r="L313" s="432"/>
      <c r="M313" s="510"/>
      <c r="N313" s="435"/>
      <c r="O313" s="432"/>
      <c r="P313" s="432"/>
      <c r="Q313" s="435"/>
      <c r="R313" s="436"/>
      <c r="S313" s="432"/>
      <c r="T313" s="432"/>
      <c r="U313" s="436"/>
      <c r="V313" s="436"/>
      <c r="W313" s="432"/>
      <c r="X313" s="432"/>
      <c r="Y313" s="436"/>
      <c r="Z313" s="436"/>
      <c r="AA313" s="432"/>
      <c r="AB313" s="432"/>
      <c r="AC313" s="436"/>
      <c r="AD313" s="436"/>
      <c r="AE313" s="432"/>
      <c r="AF313" s="432"/>
      <c r="AG313" s="436"/>
      <c r="AH313" s="436"/>
      <c r="AI313" s="387">
        <f t="shared" si="142"/>
        <v>0</v>
      </c>
      <c r="AJ313" s="387">
        <f t="shared" si="143"/>
        <v>0</v>
      </c>
      <c r="AK313" s="387">
        <f t="shared" si="144"/>
        <v>0</v>
      </c>
      <c r="AL313" s="387">
        <f t="shared" si="137"/>
        <v>0</v>
      </c>
      <c r="AM313" s="388">
        <f t="shared" si="138"/>
        <v>0</v>
      </c>
    </row>
    <row r="314" spans="1:39" s="400" customFormat="1" x14ac:dyDescent="0.25">
      <c r="A314" s="399" t="s">
        <v>1153</v>
      </c>
      <c r="B314" s="400" t="s">
        <v>728</v>
      </c>
      <c r="C314" s="506">
        <f>+C303</f>
        <v>5753007</v>
      </c>
      <c r="D314" s="506">
        <f>+D303</f>
        <v>5869861</v>
      </c>
      <c r="E314" s="506">
        <v>8359839.3659999995</v>
      </c>
      <c r="F314" s="506">
        <f>+F303</f>
        <v>5753007</v>
      </c>
      <c r="G314" s="506">
        <f>+G303</f>
        <v>0</v>
      </c>
      <c r="H314" s="506">
        <f>+H303</f>
        <v>0</v>
      </c>
      <c r="I314" s="506">
        <v>0</v>
      </c>
      <c r="J314" s="507">
        <v>0</v>
      </c>
      <c r="K314" s="506">
        <f>+K303</f>
        <v>0</v>
      </c>
      <c r="L314" s="506">
        <f>+L303</f>
        <v>0</v>
      </c>
      <c r="M314" s="507">
        <v>0</v>
      </c>
      <c r="N314" s="507">
        <v>0</v>
      </c>
      <c r="O314" s="506">
        <f>+O303</f>
        <v>0</v>
      </c>
      <c r="P314" s="506">
        <f>+P303</f>
        <v>0</v>
      </c>
      <c r="Q314" s="507"/>
      <c r="R314" s="507">
        <v>0</v>
      </c>
      <c r="S314" s="506">
        <f>+S303</f>
        <v>0</v>
      </c>
      <c r="T314" s="506">
        <f>+T303</f>
        <v>0</v>
      </c>
      <c r="U314" s="507"/>
      <c r="V314" s="507">
        <v>0</v>
      </c>
      <c r="W314" s="506">
        <f>+W303</f>
        <v>0</v>
      </c>
      <c r="X314" s="506">
        <f>+X303</f>
        <v>0</v>
      </c>
      <c r="Y314" s="507"/>
      <c r="Z314" s="507">
        <v>0</v>
      </c>
      <c r="AA314" s="506">
        <f>+AA303</f>
        <v>0</v>
      </c>
      <c r="AB314" s="506">
        <f>+AB303</f>
        <v>0</v>
      </c>
      <c r="AC314" s="507"/>
      <c r="AD314" s="507">
        <v>0</v>
      </c>
      <c r="AE314" s="506">
        <f>+AE303</f>
        <v>0</v>
      </c>
      <c r="AF314" s="506">
        <f>+AF303</f>
        <v>0</v>
      </c>
      <c r="AG314" s="507"/>
      <c r="AH314" s="507">
        <v>0</v>
      </c>
      <c r="AI314" s="387">
        <f t="shared" si="142"/>
        <v>5753007</v>
      </c>
      <c r="AJ314" s="387">
        <f t="shared" si="143"/>
        <v>5869861</v>
      </c>
      <c r="AK314" s="387">
        <f t="shared" si="144"/>
        <v>8359839.3659999995</v>
      </c>
      <c r="AL314" s="387">
        <f t="shared" si="137"/>
        <v>5753007</v>
      </c>
      <c r="AM314" s="388">
        <f t="shared" si="138"/>
        <v>0</v>
      </c>
    </row>
    <row r="315" spans="1:39" s="400" customFormat="1" ht="21.75" customHeight="1" thickBot="1" x14ac:dyDescent="0.3">
      <c r="A315" s="511" t="s">
        <v>93</v>
      </c>
      <c r="B315" s="512"/>
      <c r="C315" s="513">
        <f>+C273+C314</f>
        <v>12687867</v>
      </c>
      <c r="D315" s="513">
        <f>+D273+D314</f>
        <v>12827037</v>
      </c>
      <c r="E315" s="513">
        <v>11996806.597999999</v>
      </c>
      <c r="F315" s="513">
        <f>+F273+F314</f>
        <v>12687866.874</v>
      </c>
      <c r="G315" s="513">
        <f>+G273+G314</f>
        <v>1531849.8</v>
      </c>
      <c r="H315" s="513">
        <f>+H273+H314</f>
        <v>1531850</v>
      </c>
      <c r="I315" s="513">
        <v>1234616.672</v>
      </c>
      <c r="J315" s="514">
        <v>1531850.3759999999</v>
      </c>
      <c r="K315" s="513">
        <f>+K273+K314</f>
        <v>1169671</v>
      </c>
      <c r="L315" s="513">
        <f>+L273+L314</f>
        <v>1169671</v>
      </c>
      <c r="M315" s="514">
        <v>1508219.7680000004</v>
      </c>
      <c r="N315" s="514">
        <v>1169671</v>
      </c>
      <c r="O315" s="513">
        <f>+O273+O314</f>
        <v>3806420</v>
      </c>
      <c r="P315" s="513">
        <f>+P273+P314</f>
        <v>3806420</v>
      </c>
      <c r="Q315" s="514">
        <v>2285778.6880000001</v>
      </c>
      <c r="R315" s="514">
        <v>3806420.02</v>
      </c>
      <c r="S315" s="513">
        <f>+S273+S314</f>
        <v>916445</v>
      </c>
      <c r="T315" s="513">
        <f>+T273+T314</f>
        <v>916445</v>
      </c>
      <c r="U315" s="514">
        <v>856302.005</v>
      </c>
      <c r="V315" s="514">
        <v>916445</v>
      </c>
      <c r="W315" s="513">
        <f>+W273+W314</f>
        <v>506696.5</v>
      </c>
      <c r="X315" s="513">
        <f>+X273+X314</f>
        <v>506697</v>
      </c>
      <c r="Y315" s="514">
        <v>391028.51299999998</v>
      </c>
      <c r="Z315" s="514">
        <v>506696.5</v>
      </c>
      <c r="AA315" s="513">
        <f>+AA273+AA314</f>
        <v>495664</v>
      </c>
      <c r="AB315" s="513">
        <f>+AB273+AB314</f>
        <v>495664</v>
      </c>
      <c r="AC315" s="514">
        <v>431965.29700000002</v>
      </c>
      <c r="AD315" s="514">
        <v>495664</v>
      </c>
      <c r="AE315" s="513">
        <f>+AE273+AE314</f>
        <v>95055</v>
      </c>
      <c r="AF315" s="513">
        <f>+AF273+AF314</f>
        <v>95055</v>
      </c>
      <c r="AG315" s="514">
        <v>51965.260999999999</v>
      </c>
      <c r="AH315" s="514">
        <v>95055</v>
      </c>
      <c r="AI315" s="409">
        <f>C315+G315+K315+O315+S315+W315+AA315+AE315+1</f>
        <v>21209669.300000001</v>
      </c>
      <c r="AJ315" s="409">
        <f t="shared" si="143"/>
        <v>21348839</v>
      </c>
      <c r="AK315" s="409">
        <f t="shared" si="144"/>
        <v>18756682.801999997</v>
      </c>
      <c r="AL315" s="409">
        <f t="shared" si="137"/>
        <v>21209668.77</v>
      </c>
      <c r="AM315" s="388">
        <f t="shared" si="138"/>
        <v>8521801.8959999997</v>
      </c>
    </row>
    <row r="316" spans="1:39" s="400" customFormat="1" ht="21.75" hidden="1" customHeight="1" x14ac:dyDescent="0.25">
      <c r="A316" s="515"/>
      <c r="B316" s="516"/>
      <c r="C316" s="517"/>
      <c r="D316" s="517"/>
      <c r="E316" s="517"/>
      <c r="F316" s="518"/>
      <c r="G316" s="519"/>
      <c r="H316" s="519"/>
      <c r="I316" s="519"/>
      <c r="J316" s="520"/>
      <c r="K316" s="520"/>
      <c r="L316" s="520"/>
      <c r="M316" s="520"/>
      <c r="N316" s="520"/>
      <c r="O316" s="520"/>
      <c r="P316" s="520"/>
      <c r="Q316" s="520"/>
      <c r="R316" s="520"/>
      <c r="S316" s="520"/>
      <c r="T316" s="520"/>
      <c r="U316" s="520"/>
      <c r="V316" s="520"/>
      <c r="W316" s="520"/>
      <c r="X316" s="520"/>
      <c r="Y316" s="520"/>
      <c r="Z316" s="520"/>
      <c r="AA316" s="520"/>
      <c r="AB316" s="520"/>
      <c r="AC316" s="520"/>
      <c r="AD316" s="520"/>
      <c r="AE316" s="520"/>
      <c r="AF316" s="520"/>
      <c r="AG316" s="520"/>
      <c r="AH316" s="520"/>
      <c r="AI316" s="520"/>
      <c r="AJ316" s="520"/>
      <c r="AK316" s="520"/>
      <c r="AL316" s="521"/>
      <c r="AM316" s="522"/>
    </row>
    <row r="317" spans="1:39" x14ac:dyDescent="0.2">
      <c r="AJ317" s="525">
        <f>+AJ315-AI315</f>
        <v>139169.69999999925</v>
      </c>
      <c r="AL317" s="526">
        <f>F317+J317+N317+R317+V317+Z317+AD317+AH317</f>
        <v>0</v>
      </c>
      <c r="AM317" s="527">
        <f>J317+N317+R317+V317+Z317+AD317+AH317+AL317</f>
        <v>0</v>
      </c>
    </row>
    <row r="318" spans="1:39" x14ac:dyDescent="0.2">
      <c r="D318" s="523">
        <f>+D315-C315</f>
        <v>139170</v>
      </c>
    </row>
    <row r="320" spans="1:39" x14ac:dyDescent="0.2">
      <c r="F320" s="528"/>
      <c r="G320" s="528"/>
      <c r="H320" s="528"/>
      <c r="I320" s="528"/>
    </row>
    <row r="323" spans="6:6" x14ac:dyDescent="0.2">
      <c r="F323" s="529"/>
    </row>
  </sheetData>
  <dataConsolidate/>
  <mergeCells count="10">
    <mergeCell ref="AI1:AL1"/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conditionalFormatting sqref="A2">
    <cfRule type="cellIs" dxfId="5" priority="1" operator="equal">
      <formula>0</formula>
    </cfRule>
  </conditionalFormatting>
  <pageMargins left="0.31496062992125984" right="0.23622047244094491" top="0.69" bottom="0.37" header="0.31496062992125984" footer="0.19"/>
  <pageSetup paperSize="9" scale="85" fitToWidth="0" fitToHeight="0" orientation="landscape" r:id="rId1"/>
  <headerFooter>
    <oddHeader>&amp;C3. melléklet a .../2022. (V. .....) önkormányzati rendelethez
3. melléklet az 1/2022.(II. 28.)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39" sqref="C39"/>
    </sheetView>
  </sheetViews>
  <sheetFormatPr defaultRowHeight="15" x14ac:dyDescent="0.25"/>
  <cols>
    <col min="2" max="2" width="48.5703125" customWidth="1"/>
    <col min="3" max="3" width="24.42578125" customWidth="1"/>
  </cols>
  <sheetData>
    <row r="1" spans="1:4" ht="15.75" thickBot="1" x14ac:dyDescent="0.3">
      <c r="A1" s="831"/>
      <c r="B1" s="845"/>
      <c r="C1" s="831" t="s">
        <v>1188</v>
      </c>
    </row>
    <row r="2" spans="1:4" ht="15.75" thickBot="1" x14ac:dyDescent="0.3">
      <c r="A2" s="832" t="s">
        <v>1189</v>
      </c>
      <c r="B2" s="833" t="s">
        <v>1190</v>
      </c>
      <c r="C2" s="834">
        <v>3000</v>
      </c>
      <c r="D2" t="s">
        <v>1235</v>
      </c>
    </row>
    <row r="3" spans="1:4" ht="15.75" thickBot="1" x14ac:dyDescent="0.3">
      <c r="A3" s="832" t="s">
        <v>1189</v>
      </c>
      <c r="B3" s="833" t="s">
        <v>872</v>
      </c>
      <c r="C3" s="835">
        <v>300</v>
      </c>
      <c r="D3" t="s">
        <v>836</v>
      </c>
    </row>
    <row r="4" spans="1:4" ht="26.25" thickBot="1" x14ac:dyDescent="0.3">
      <c r="A4" s="832" t="s">
        <v>1191</v>
      </c>
      <c r="B4" s="833" t="s">
        <v>1193</v>
      </c>
      <c r="C4" s="834">
        <v>1000</v>
      </c>
      <c r="D4" t="s">
        <v>1231</v>
      </c>
    </row>
    <row r="5" spans="1:4" ht="15.75" thickBot="1" x14ac:dyDescent="0.3">
      <c r="A5" s="832" t="s">
        <v>1191</v>
      </c>
      <c r="B5" s="836" t="s">
        <v>1198</v>
      </c>
      <c r="C5" s="837">
        <v>1250</v>
      </c>
      <c r="D5" t="s">
        <v>1231</v>
      </c>
    </row>
    <row r="6" spans="1:4" ht="15.75" thickBot="1" x14ac:dyDescent="0.3">
      <c r="A6" s="832" t="s">
        <v>1191</v>
      </c>
      <c r="B6" s="836" t="s">
        <v>1197</v>
      </c>
      <c r="C6" s="837">
        <v>4000</v>
      </c>
      <c r="D6" t="s">
        <v>1249</v>
      </c>
    </row>
    <row r="7" spans="1:4" ht="15.75" thickBot="1" x14ac:dyDescent="0.3">
      <c r="A7" s="832" t="s">
        <v>1191</v>
      </c>
      <c r="B7" s="833" t="s">
        <v>1192</v>
      </c>
      <c r="C7" s="835">
        <v>500</v>
      </c>
      <c r="D7" t="s">
        <v>1235</v>
      </c>
    </row>
    <row r="8" spans="1:4" ht="26.25" thickBot="1" x14ac:dyDescent="0.3">
      <c r="A8" s="832" t="s">
        <v>1191</v>
      </c>
      <c r="B8" s="833" t="s">
        <v>1194</v>
      </c>
      <c r="C8" s="834">
        <v>3000</v>
      </c>
      <c r="D8" t="s">
        <v>1235</v>
      </c>
    </row>
    <row r="9" spans="1:4" ht="26.25" thickBot="1" x14ac:dyDescent="0.3">
      <c r="A9" s="832" t="s">
        <v>1191</v>
      </c>
      <c r="B9" s="833" t="s">
        <v>1196</v>
      </c>
      <c r="C9" s="834">
        <v>1520</v>
      </c>
      <c r="D9" t="s">
        <v>836</v>
      </c>
    </row>
    <row r="10" spans="1:4" ht="15.75" thickBot="1" x14ac:dyDescent="0.3">
      <c r="A10" s="832" t="s">
        <v>1191</v>
      </c>
      <c r="B10" s="833" t="s">
        <v>1195</v>
      </c>
      <c r="C10" s="835">
        <v>1200</v>
      </c>
      <c r="D10" t="s">
        <v>836</v>
      </c>
    </row>
    <row r="11" spans="1:4" ht="15.75" thickBot="1" x14ac:dyDescent="0.3">
      <c r="A11" s="832" t="s">
        <v>1199</v>
      </c>
      <c r="B11" s="833" t="s">
        <v>1200</v>
      </c>
      <c r="C11" s="834">
        <v>3000</v>
      </c>
      <c r="D11" t="s">
        <v>1235</v>
      </c>
    </row>
    <row r="12" spans="1:4" ht="15.75" thickBot="1" x14ac:dyDescent="0.3">
      <c r="A12" s="832" t="s">
        <v>1201</v>
      </c>
      <c r="B12" s="833" t="s">
        <v>1202</v>
      </c>
      <c r="C12" s="835">
        <v>700</v>
      </c>
      <c r="D12" t="s">
        <v>836</v>
      </c>
    </row>
    <row r="13" spans="1:4" ht="26.25" thickBot="1" x14ac:dyDescent="0.3">
      <c r="A13" s="832" t="s">
        <v>1203</v>
      </c>
      <c r="B13" s="836" t="s">
        <v>1208</v>
      </c>
      <c r="C13" s="838">
        <v>500</v>
      </c>
      <c r="D13" t="s">
        <v>1231</v>
      </c>
    </row>
    <row r="14" spans="1:4" ht="26.25" thickBot="1" x14ac:dyDescent="0.3">
      <c r="A14" s="832" t="s">
        <v>1203</v>
      </c>
      <c r="B14" s="833" t="s">
        <v>1206</v>
      </c>
      <c r="C14" s="835">
        <v>300</v>
      </c>
      <c r="D14" t="s">
        <v>1231</v>
      </c>
    </row>
    <row r="15" spans="1:4" x14ac:dyDescent="0.25">
      <c r="A15" s="846" t="s">
        <v>1203</v>
      </c>
      <c r="B15" s="848" t="s">
        <v>754</v>
      </c>
      <c r="C15" s="849">
        <v>500</v>
      </c>
      <c r="D15" t="s">
        <v>752</v>
      </c>
    </row>
    <row r="16" spans="1:4" ht="15.75" thickBot="1" x14ac:dyDescent="0.3">
      <c r="A16" s="832" t="s">
        <v>1203</v>
      </c>
      <c r="B16" s="833" t="s">
        <v>1204</v>
      </c>
      <c r="C16" s="835" t="s">
        <v>1205</v>
      </c>
      <c r="D16" t="s">
        <v>1248</v>
      </c>
    </row>
    <row r="17" spans="1:4" ht="15.75" thickBot="1" x14ac:dyDescent="0.3">
      <c r="A17" s="832" t="s">
        <v>1203</v>
      </c>
      <c r="B17" s="836" t="s">
        <v>1209</v>
      </c>
      <c r="C17" s="837">
        <v>30000</v>
      </c>
      <c r="D17" t="s">
        <v>1248</v>
      </c>
    </row>
    <row r="18" spans="1:4" ht="51.75" thickBot="1" x14ac:dyDescent="0.3">
      <c r="A18" s="836" t="s">
        <v>1203</v>
      </c>
      <c r="B18" s="836" t="s">
        <v>1207</v>
      </c>
      <c r="C18" s="850">
        <v>5000</v>
      </c>
      <c r="D18" t="s">
        <v>836</v>
      </c>
    </row>
    <row r="19" spans="1:4" ht="51.75" thickBot="1" x14ac:dyDescent="0.3">
      <c r="A19" s="832" t="s">
        <v>1210</v>
      </c>
      <c r="B19" s="833" t="s">
        <v>1211</v>
      </c>
      <c r="C19" s="835">
        <v>200</v>
      </c>
      <c r="D19" t="s">
        <v>1231</v>
      </c>
    </row>
    <row r="20" spans="1:4" ht="39" thickBot="1" x14ac:dyDescent="0.3">
      <c r="A20" s="847" t="s">
        <v>1210</v>
      </c>
      <c r="B20" s="836" t="s">
        <v>1212</v>
      </c>
      <c r="C20" s="837">
        <v>15000</v>
      </c>
      <c r="D20" t="s">
        <v>841</v>
      </c>
    </row>
    <row r="21" spans="1:4" ht="15.75" thickBot="1" x14ac:dyDescent="0.3">
      <c r="A21" s="832" t="s">
        <v>1213</v>
      </c>
      <c r="B21" s="836" t="s">
        <v>1214</v>
      </c>
      <c r="C21" s="837">
        <v>1000</v>
      </c>
      <c r="D21" t="s">
        <v>1231</v>
      </c>
    </row>
    <row r="22" spans="1:4" ht="26.25" thickBot="1" x14ac:dyDescent="0.3">
      <c r="A22" s="832" t="s">
        <v>1215</v>
      </c>
      <c r="B22" s="833" t="s">
        <v>1217</v>
      </c>
      <c r="C22" s="835">
        <v>500</v>
      </c>
      <c r="D22" t="s">
        <v>1233</v>
      </c>
    </row>
    <row r="23" spans="1:4" ht="115.5" thickBot="1" x14ac:dyDescent="0.3">
      <c r="A23" s="832" t="s">
        <v>1215</v>
      </c>
      <c r="B23" s="833" t="s">
        <v>1218</v>
      </c>
      <c r="C23" s="835">
        <v>150</v>
      </c>
      <c r="D23" t="s">
        <v>1235</v>
      </c>
    </row>
    <row r="24" spans="1:4" ht="15.75" thickBot="1" x14ac:dyDescent="0.3">
      <c r="A24" s="832" t="s">
        <v>1215</v>
      </c>
      <c r="B24" s="836" t="s">
        <v>1220</v>
      </c>
      <c r="C24" s="838">
        <v>200</v>
      </c>
      <c r="D24" t="s">
        <v>1232</v>
      </c>
    </row>
    <row r="25" spans="1:4" ht="15.75" thickBot="1" x14ac:dyDescent="0.3">
      <c r="A25" s="832" t="s">
        <v>1215</v>
      </c>
      <c r="B25" s="833" t="s">
        <v>867</v>
      </c>
      <c r="C25" s="834">
        <v>3000</v>
      </c>
      <c r="D25" t="s">
        <v>836</v>
      </c>
    </row>
    <row r="26" spans="1:4" ht="102.75" thickBot="1" x14ac:dyDescent="0.3">
      <c r="A26" s="832" t="s">
        <v>1215</v>
      </c>
      <c r="B26" s="833" t="s">
        <v>1219</v>
      </c>
      <c r="C26" s="835">
        <v>300</v>
      </c>
      <c r="D26" t="s">
        <v>836</v>
      </c>
    </row>
    <row r="27" spans="1:4" ht="15.75" thickBot="1" x14ac:dyDescent="0.3">
      <c r="A27" s="832" t="s">
        <v>1215</v>
      </c>
      <c r="B27" s="833" t="s">
        <v>1216</v>
      </c>
      <c r="C27" s="834">
        <v>4000</v>
      </c>
      <c r="D27" t="s">
        <v>841</v>
      </c>
    </row>
    <row r="28" spans="1:4" ht="15.75" thickBot="1" x14ac:dyDescent="0.3">
      <c r="A28" s="832" t="s">
        <v>1221</v>
      </c>
      <c r="B28" s="836" t="s">
        <v>1222</v>
      </c>
      <c r="C28" s="837">
        <v>1000</v>
      </c>
      <c r="D28" t="s">
        <v>752</v>
      </c>
    </row>
    <row r="29" spans="1:4" ht="54.75" thickBot="1" x14ac:dyDescent="0.3">
      <c r="A29" s="835" t="s">
        <v>1223</v>
      </c>
      <c r="B29" s="839" t="s">
        <v>1224</v>
      </c>
      <c r="C29" s="841">
        <v>600</v>
      </c>
      <c r="D29" t="s">
        <v>1231</v>
      </c>
    </row>
    <row r="30" spans="1:4" ht="26.25" thickBot="1" x14ac:dyDescent="0.3">
      <c r="A30" s="835" t="s">
        <v>1223</v>
      </c>
      <c r="B30" s="842" t="s">
        <v>1229</v>
      </c>
      <c r="C30" s="843">
        <v>1000</v>
      </c>
      <c r="D30" t="s">
        <v>1235</v>
      </c>
    </row>
    <row r="31" spans="1:4" ht="26.25" thickBot="1" x14ac:dyDescent="0.3">
      <c r="A31" s="835" t="s">
        <v>1223</v>
      </c>
      <c r="B31" s="842" t="s">
        <v>1228</v>
      </c>
      <c r="C31" s="843">
        <v>1000</v>
      </c>
      <c r="D31" t="s">
        <v>1235</v>
      </c>
    </row>
    <row r="32" spans="1:4" ht="15.75" thickBot="1" x14ac:dyDescent="0.3">
      <c r="A32" s="835" t="s">
        <v>1223</v>
      </c>
      <c r="B32" s="842" t="s">
        <v>1225</v>
      </c>
      <c r="C32" s="843">
        <v>3000</v>
      </c>
      <c r="D32" t="s">
        <v>1235</v>
      </c>
    </row>
    <row r="33" spans="1:4" ht="15.75" thickBot="1" x14ac:dyDescent="0.3">
      <c r="A33" s="835" t="s">
        <v>1223</v>
      </c>
      <c r="B33" s="842" t="s">
        <v>1226</v>
      </c>
      <c r="C33" s="843">
        <v>10000</v>
      </c>
      <c r="D33" t="s">
        <v>1235</v>
      </c>
    </row>
    <row r="34" spans="1:4" ht="15.75" thickBot="1" x14ac:dyDescent="0.3">
      <c r="A34" s="835" t="s">
        <v>1223</v>
      </c>
      <c r="B34" s="842" t="s">
        <v>1227</v>
      </c>
      <c r="C34" s="843">
        <v>6000</v>
      </c>
      <c r="D34" t="s">
        <v>1235</v>
      </c>
    </row>
    <row r="35" spans="1:4" ht="15.75" thickBot="1" x14ac:dyDescent="0.3">
      <c r="A35" s="835" t="s">
        <v>1223</v>
      </c>
      <c r="B35" s="839" t="s">
        <v>869</v>
      </c>
      <c r="C35" s="840">
        <v>10000</v>
      </c>
      <c r="D35" t="s">
        <v>836</v>
      </c>
    </row>
    <row r="36" spans="1:4" ht="15.75" thickBot="1" x14ac:dyDescent="0.3">
      <c r="A36" s="835"/>
      <c r="B36" s="844" t="s">
        <v>1230</v>
      </c>
      <c r="C36" s="843">
        <v>137720</v>
      </c>
    </row>
    <row r="38" spans="1:4" x14ac:dyDescent="0.25">
      <c r="C38" s="564">
        <f>+C36-112720</f>
        <v>25000</v>
      </c>
    </row>
  </sheetData>
  <autoFilter ref="A1:D1">
    <sortState ref="A2:D36">
      <sortCondition ref="A1"/>
    </sortState>
  </autoFilter>
  <pageMargins left="0.43" right="0.33" top="0.52" bottom="0.31" header="0.3" footer="0.1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V16"/>
  <sheetViews>
    <sheetView showZeros="0" view="pageBreakPreview" zoomScaleNormal="100" zoomScaleSheetLayoutView="100" workbookViewId="0">
      <selection activeCell="B20" sqref="B20"/>
    </sheetView>
  </sheetViews>
  <sheetFormatPr defaultColWidth="12.42578125" defaultRowHeight="15" x14ac:dyDescent="0.2"/>
  <cols>
    <col min="1" max="1" width="12.42578125" style="29"/>
    <col min="2" max="2" width="48.42578125" style="30" customWidth="1"/>
    <col min="3" max="3" width="20.42578125" style="30" hidden="1" customWidth="1"/>
    <col min="4" max="4" width="19.140625" style="31" customWidth="1"/>
    <col min="5" max="255" width="12.42578125" style="31"/>
    <col min="256" max="16384" width="12.42578125" style="32"/>
  </cols>
  <sheetData>
    <row r="3" spans="1:256" ht="97.7" hidden="1" customHeight="1" x14ac:dyDescent="0.2"/>
    <row r="4" spans="1:256" x14ac:dyDescent="0.2">
      <c r="D4" s="33" t="s">
        <v>75</v>
      </c>
    </row>
    <row r="5" spans="1:256" s="36" customFormat="1" ht="45" x14ac:dyDescent="0.2">
      <c r="A5" s="34" t="s">
        <v>40</v>
      </c>
      <c r="B5" s="35" t="s">
        <v>41</v>
      </c>
      <c r="C5" s="35" t="s">
        <v>42</v>
      </c>
      <c r="D5" s="35" t="s">
        <v>43</v>
      </c>
      <c r="IV5" s="32"/>
    </row>
    <row r="6" spans="1:256" ht="28.5" x14ac:dyDescent="0.2">
      <c r="A6" s="37" t="s">
        <v>4</v>
      </c>
      <c r="B6" s="38" t="s">
        <v>79</v>
      </c>
      <c r="C6" s="39"/>
      <c r="D6" s="40"/>
    </row>
    <row r="7" spans="1:256" ht="28.5" x14ac:dyDescent="0.2">
      <c r="A7" s="37" t="s">
        <v>7</v>
      </c>
      <c r="B7" s="38" t="s">
        <v>80</v>
      </c>
      <c r="C7" s="39"/>
      <c r="D7" s="40"/>
    </row>
    <row r="8" spans="1:256" ht="28.5" x14ac:dyDescent="0.2">
      <c r="A8" s="37" t="s">
        <v>9</v>
      </c>
      <c r="B8" s="38" t="s">
        <v>81</v>
      </c>
      <c r="C8" s="39"/>
      <c r="D8" s="40"/>
    </row>
    <row r="9" spans="1:256" s="42" customFormat="1" x14ac:dyDescent="0.2">
      <c r="A9" s="37"/>
      <c r="B9" s="38" t="s">
        <v>44</v>
      </c>
      <c r="C9" s="41"/>
      <c r="D9" s="64">
        <v>400</v>
      </c>
      <c r="IV9" s="32"/>
    </row>
    <row r="10" spans="1:256" s="42" customFormat="1" x14ac:dyDescent="0.2">
      <c r="A10" s="37"/>
      <c r="B10" s="38" t="s">
        <v>45</v>
      </c>
      <c r="C10" s="41"/>
      <c r="D10" s="64">
        <v>0</v>
      </c>
      <c r="IV10" s="32"/>
    </row>
    <row r="11" spans="1:256" s="42" customFormat="1" x14ac:dyDescent="0.2">
      <c r="A11" s="37"/>
      <c r="B11" s="38" t="s">
        <v>82</v>
      </c>
      <c r="C11" s="41"/>
      <c r="D11" s="64"/>
      <c r="IV11" s="32"/>
    </row>
    <row r="12" spans="1:256" s="42" customFormat="1" ht="28.5" x14ac:dyDescent="0.2">
      <c r="A12" s="37"/>
      <c r="B12" s="38" t="s">
        <v>83</v>
      </c>
      <c r="C12" s="41"/>
      <c r="D12" s="64">
        <v>400</v>
      </c>
      <c r="IV12" s="32"/>
    </row>
    <row r="13" spans="1:256" s="42" customFormat="1" x14ac:dyDescent="0.2">
      <c r="A13" s="37"/>
      <c r="B13" s="38" t="s">
        <v>84</v>
      </c>
      <c r="C13" s="41"/>
      <c r="D13" s="64">
        <v>25</v>
      </c>
      <c r="IV13" s="32"/>
    </row>
    <row r="14" spans="1:256" s="42" customFormat="1" x14ac:dyDescent="0.2">
      <c r="A14" s="37"/>
      <c r="B14" s="38" t="s">
        <v>85</v>
      </c>
      <c r="C14" s="41"/>
      <c r="D14" s="64">
        <v>400</v>
      </c>
      <c r="IV14" s="32"/>
    </row>
    <row r="15" spans="1:256" ht="42.75" x14ac:dyDescent="0.2">
      <c r="A15" s="37" t="s">
        <v>12</v>
      </c>
      <c r="B15" s="38" t="s">
        <v>46</v>
      </c>
      <c r="C15" s="39"/>
      <c r="D15" s="43"/>
      <c r="E15" s="44"/>
    </row>
    <row r="16" spans="1:256" ht="28.5" x14ac:dyDescent="0.2">
      <c r="A16" s="37" t="s">
        <v>15</v>
      </c>
      <c r="B16" s="38" t="s">
        <v>47</v>
      </c>
      <c r="C16" s="39"/>
      <c r="D16" s="40"/>
    </row>
  </sheetData>
  <printOptions horizontalCentered="1"/>
  <pageMargins left="0.59055118110236227" right="0.59055118110236227" top="1.299212598425197" bottom="0.74803149606299213" header="0.62992125984251968" footer="0.62992125984251968"/>
  <pageSetup paperSize="9" firstPageNumber="0" orientation="portrait" r:id="rId1"/>
  <headerFooter alignWithMargins="0">
    <oddHeader xml:space="preserve">&amp;C&amp;"Arial,Félkövér"
Közvetett támogatások&amp;R4. tájékoztató tábla </oddHeader>
    <oddFooter>&amp;C&amp;8&amp;P&amp;R&amp;8&amp;D 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showZeros="0" view="pageBreakPreview" topLeftCell="B1" zoomScale="118" zoomScaleNormal="100" zoomScaleSheetLayoutView="118" workbookViewId="0">
      <selection activeCell="G3" sqref="G3"/>
    </sheetView>
  </sheetViews>
  <sheetFormatPr defaultColWidth="12.42578125" defaultRowHeight="18.75" customHeight="1" x14ac:dyDescent="0.25"/>
  <cols>
    <col min="1" max="1" width="35.85546875" style="45" customWidth="1"/>
    <col min="2" max="2" width="14.85546875" style="47" customWidth="1"/>
    <col min="3" max="4" width="15.5703125" style="47" customWidth="1"/>
    <col min="5" max="5" width="14.85546875" style="47" customWidth="1"/>
    <col min="6" max="6" width="14.5703125" style="47" customWidth="1"/>
    <col min="7" max="7" width="16.140625" style="47" customWidth="1"/>
    <col min="8" max="8" width="15.85546875" style="47" customWidth="1"/>
    <col min="9" max="9" width="15.28515625" style="47" customWidth="1"/>
    <col min="10" max="10" width="16" style="47" customWidth="1"/>
    <col min="11" max="11" width="15.85546875" style="47" customWidth="1"/>
    <col min="12" max="12" width="15.28515625" style="47" customWidth="1"/>
    <col min="13" max="13" width="15.28515625" style="47" bestFit="1" customWidth="1"/>
    <col min="14" max="14" width="18.28515625" style="47" customWidth="1"/>
    <col min="15" max="15" width="19.140625" style="47" customWidth="1"/>
    <col min="16" max="16" width="17.42578125" style="48" customWidth="1"/>
    <col min="17" max="17" width="12.42578125" style="47"/>
    <col min="18" max="18" width="14.42578125" style="47" bestFit="1" customWidth="1"/>
    <col min="19" max="247" width="12.42578125" style="47"/>
    <col min="248" max="251" width="12.42578125" style="49"/>
    <col min="252" max="16384" width="12.42578125" style="32"/>
  </cols>
  <sheetData>
    <row r="1" spans="1:256" ht="39.200000000000003" customHeight="1" x14ac:dyDescent="0.25">
      <c r="B1" s="1174" t="s">
        <v>74</v>
      </c>
      <c r="C1" s="1174"/>
      <c r="D1" s="1174"/>
      <c r="E1" s="1174"/>
      <c r="F1" s="1174"/>
      <c r="G1" s="1174"/>
      <c r="H1" s="1174"/>
      <c r="I1" s="1174"/>
      <c r="J1" s="1174"/>
      <c r="K1" s="1174"/>
      <c r="L1" s="1174"/>
      <c r="M1" s="1174"/>
      <c r="N1" s="46" t="s">
        <v>75</v>
      </c>
      <c r="P1" s="48" t="s">
        <v>48</v>
      </c>
    </row>
    <row r="2" spans="1:256" ht="23.85" customHeight="1" x14ac:dyDescent="0.25">
      <c r="A2" s="50" t="s">
        <v>49</v>
      </c>
      <c r="B2" s="51" t="s">
        <v>50</v>
      </c>
      <c r="C2" s="51" t="s">
        <v>51</v>
      </c>
      <c r="D2" s="51" t="s">
        <v>52</v>
      </c>
      <c r="E2" s="51" t="s">
        <v>53</v>
      </c>
      <c r="F2" s="51" t="s">
        <v>54</v>
      </c>
      <c r="G2" s="51" t="s">
        <v>55</v>
      </c>
      <c r="H2" s="51" t="s">
        <v>56</v>
      </c>
      <c r="I2" s="51" t="s">
        <v>57</v>
      </c>
      <c r="J2" s="51" t="s">
        <v>58</v>
      </c>
      <c r="K2" s="51" t="s">
        <v>59</v>
      </c>
      <c r="L2" s="51" t="s">
        <v>60</v>
      </c>
      <c r="M2" s="51" t="s">
        <v>61</v>
      </c>
      <c r="N2" s="51" t="s">
        <v>62</v>
      </c>
    </row>
    <row r="3" spans="1:256" s="53" customFormat="1" ht="23.85" customHeight="1" x14ac:dyDescent="0.25">
      <c r="A3" s="52" t="s">
        <v>3</v>
      </c>
      <c r="P3" s="48"/>
      <c r="IN3" s="49"/>
      <c r="IO3" s="49"/>
      <c r="IP3" s="49"/>
      <c r="IQ3" s="49"/>
      <c r="IR3" s="32"/>
      <c r="IS3" s="32"/>
      <c r="IT3" s="32"/>
      <c r="IU3" s="32"/>
      <c r="IV3" s="32"/>
    </row>
    <row r="4" spans="1:256" ht="15.75" x14ac:dyDescent="0.25">
      <c r="A4" s="50" t="s">
        <v>6</v>
      </c>
      <c r="B4" s="54">
        <v>311773</v>
      </c>
      <c r="C4" s="54">
        <v>311770</v>
      </c>
      <c r="D4" s="54">
        <v>311770</v>
      </c>
      <c r="E4" s="54">
        <v>311770</v>
      </c>
      <c r="F4" s="54">
        <v>311770</v>
      </c>
      <c r="G4" s="54">
        <v>311770</v>
      </c>
      <c r="H4" s="54">
        <v>311770</v>
      </c>
      <c r="I4" s="54">
        <v>311770</v>
      </c>
      <c r="J4" s="54">
        <v>311770</v>
      </c>
      <c r="K4" s="54">
        <v>311770</v>
      </c>
      <c r="L4" s="54">
        <v>311770</v>
      </c>
      <c r="M4" s="54">
        <f>36+311770</f>
        <v>311806</v>
      </c>
      <c r="N4" s="54">
        <f t="shared" ref="N4:N22" si="0">SUM(B4:M4)</f>
        <v>3741279</v>
      </c>
      <c r="O4" s="47">
        <v>3741279</v>
      </c>
      <c r="P4" s="48">
        <f t="shared" ref="P4:P27" si="1">O4-N4</f>
        <v>0</v>
      </c>
    </row>
    <row r="5" spans="1:256" ht="15.75" x14ac:dyDescent="0.25">
      <c r="A5" s="50" t="s">
        <v>63</v>
      </c>
      <c r="B5" s="54">
        <v>45242</v>
      </c>
      <c r="C5" s="54">
        <v>45240</v>
      </c>
      <c r="D5" s="54">
        <v>45240</v>
      </c>
      <c r="E5" s="54">
        <v>45240</v>
      </c>
      <c r="F5" s="54">
        <v>45240</v>
      </c>
      <c r="G5" s="54">
        <v>45240</v>
      </c>
      <c r="H5" s="54">
        <v>45240</v>
      </c>
      <c r="I5" s="54">
        <v>45240</v>
      </c>
      <c r="J5" s="54">
        <v>45240</v>
      </c>
      <c r="K5" s="54">
        <v>45240</v>
      </c>
      <c r="L5" s="54">
        <v>45240</v>
      </c>
      <c r="M5" s="54">
        <v>45259</v>
      </c>
      <c r="N5" s="54">
        <f t="shared" si="0"/>
        <v>542901</v>
      </c>
      <c r="O5" s="47">
        <v>542901</v>
      </c>
      <c r="P5" s="48">
        <f t="shared" si="1"/>
        <v>0</v>
      </c>
    </row>
    <row r="6" spans="1:256" ht="15.75" x14ac:dyDescent="0.25">
      <c r="A6" s="50" t="s">
        <v>11</v>
      </c>
      <c r="B6" s="54">
        <v>438412</v>
      </c>
      <c r="C6" s="54">
        <v>430000</v>
      </c>
      <c r="D6" s="54">
        <v>440000</v>
      </c>
      <c r="E6" s="54">
        <v>440000</v>
      </c>
      <c r="F6" s="54">
        <v>445000</v>
      </c>
      <c r="G6" s="54">
        <v>438000</v>
      </c>
      <c r="H6" s="54">
        <v>438000</v>
      </c>
      <c r="I6" s="54">
        <v>438000</v>
      </c>
      <c r="J6" s="54">
        <v>438000</v>
      </c>
      <c r="K6" s="54">
        <v>438000</v>
      </c>
      <c r="L6" s="54">
        <v>438000</v>
      </c>
      <c r="M6" s="54">
        <v>439532</v>
      </c>
      <c r="N6" s="54">
        <f t="shared" si="0"/>
        <v>5260944</v>
      </c>
      <c r="O6" s="47">
        <v>5260944</v>
      </c>
      <c r="P6" s="48">
        <f t="shared" si="1"/>
        <v>0</v>
      </c>
    </row>
    <row r="7" spans="1:256" ht="15.75" x14ac:dyDescent="0.25">
      <c r="A7" s="50" t="s">
        <v>14</v>
      </c>
      <c r="B7" s="54">
        <v>15542</v>
      </c>
      <c r="C7" s="54">
        <v>15540</v>
      </c>
      <c r="D7" s="54">
        <v>15540</v>
      </c>
      <c r="E7" s="54">
        <v>15540</v>
      </c>
      <c r="F7" s="54">
        <v>15540</v>
      </c>
      <c r="G7" s="54">
        <v>15540</v>
      </c>
      <c r="H7" s="54">
        <v>15540</v>
      </c>
      <c r="I7" s="54">
        <v>15540</v>
      </c>
      <c r="J7" s="54">
        <v>15540</v>
      </c>
      <c r="K7" s="54">
        <v>15540</v>
      </c>
      <c r="L7" s="54">
        <v>15540</v>
      </c>
      <c r="M7" s="54">
        <v>15558</v>
      </c>
      <c r="N7" s="54">
        <f t="shared" si="0"/>
        <v>186500</v>
      </c>
      <c r="O7" s="47">
        <v>186500</v>
      </c>
      <c r="P7" s="48">
        <f t="shared" si="1"/>
        <v>0</v>
      </c>
    </row>
    <row r="8" spans="1:256" ht="15.75" x14ac:dyDescent="0.25">
      <c r="A8" s="50" t="s">
        <v>16</v>
      </c>
      <c r="B8" s="54">
        <v>56554</v>
      </c>
      <c r="C8" s="54">
        <v>56000</v>
      </c>
      <c r="D8" s="54">
        <v>156000</v>
      </c>
      <c r="E8" s="54">
        <v>222000</v>
      </c>
      <c r="F8" s="54">
        <v>356000</v>
      </c>
      <c r="G8" s="54">
        <v>500000</v>
      </c>
      <c r="H8" s="54">
        <v>156000</v>
      </c>
      <c r="I8" s="54">
        <v>156000</v>
      </c>
      <c r="J8" s="54">
        <v>600000</v>
      </c>
      <c r="K8" s="54">
        <v>156000</v>
      </c>
      <c r="L8" s="54">
        <v>332686</v>
      </c>
      <c r="M8" s="54">
        <v>156000</v>
      </c>
      <c r="N8" s="54">
        <f t="shared" si="0"/>
        <v>2903240</v>
      </c>
      <c r="O8" s="47">
        <v>2903240</v>
      </c>
      <c r="P8" s="48">
        <f t="shared" si="1"/>
        <v>0</v>
      </c>
    </row>
    <row r="9" spans="1:256" s="57" customFormat="1" ht="23.85" customHeight="1" x14ac:dyDescent="0.25">
      <c r="A9" s="55" t="s">
        <v>64</v>
      </c>
      <c r="B9" s="56">
        <f>SUM(B4:B8)</f>
        <v>867523</v>
      </c>
      <c r="C9" s="56">
        <f t="shared" ref="C9:M9" si="2">SUM(C4:C8)</f>
        <v>858550</v>
      </c>
      <c r="D9" s="56">
        <f t="shared" si="2"/>
        <v>968550</v>
      </c>
      <c r="E9" s="56">
        <f t="shared" si="2"/>
        <v>1034550</v>
      </c>
      <c r="F9" s="56">
        <f t="shared" si="2"/>
        <v>1173550</v>
      </c>
      <c r="G9" s="56">
        <f t="shared" si="2"/>
        <v>1310550</v>
      </c>
      <c r="H9" s="56">
        <f t="shared" si="2"/>
        <v>966550</v>
      </c>
      <c r="I9" s="56">
        <f t="shared" si="2"/>
        <v>966550</v>
      </c>
      <c r="J9" s="56">
        <f t="shared" si="2"/>
        <v>1410550</v>
      </c>
      <c r="K9" s="56">
        <f t="shared" si="2"/>
        <v>966550</v>
      </c>
      <c r="L9" s="56">
        <f t="shared" si="2"/>
        <v>1143236</v>
      </c>
      <c r="M9" s="56">
        <f t="shared" si="2"/>
        <v>968155</v>
      </c>
      <c r="N9" s="56">
        <f>SUM(N4:N8)</f>
        <v>12634864</v>
      </c>
      <c r="O9" s="47">
        <f>SUM(O4:O8)</f>
        <v>12634864</v>
      </c>
      <c r="P9" s="48"/>
      <c r="IN9" s="49"/>
      <c r="IO9" s="49"/>
      <c r="IP9" s="49"/>
      <c r="IQ9" s="49"/>
      <c r="IR9" s="32"/>
      <c r="IS9" s="32"/>
      <c r="IT9" s="32"/>
      <c r="IU9" s="32"/>
      <c r="IV9" s="32"/>
    </row>
    <row r="10" spans="1:256" ht="15.75" x14ac:dyDescent="0.25">
      <c r="A10" s="50" t="s">
        <v>18</v>
      </c>
      <c r="B10" s="58"/>
      <c r="C10" s="58">
        <v>150000</v>
      </c>
      <c r="D10" s="58"/>
      <c r="E10" s="58"/>
      <c r="F10" s="58">
        <v>500000</v>
      </c>
      <c r="G10" s="58"/>
      <c r="H10" s="58"/>
      <c r="I10" s="58"/>
      <c r="J10" s="58"/>
      <c r="K10" s="58">
        <v>256349</v>
      </c>
      <c r="L10" s="58"/>
      <c r="M10" s="58"/>
      <c r="N10" s="54">
        <f t="shared" si="0"/>
        <v>906349</v>
      </c>
      <c r="O10" s="47">
        <v>906349</v>
      </c>
      <c r="P10" s="48">
        <f t="shared" si="1"/>
        <v>0</v>
      </c>
    </row>
    <row r="11" spans="1:256" ht="15.75" x14ac:dyDescent="0.25">
      <c r="A11" s="50" t="s">
        <v>20</v>
      </c>
      <c r="B11" s="58"/>
      <c r="C11" s="58">
        <v>15000</v>
      </c>
      <c r="D11" s="58"/>
      <c r="E11" s="58"/>
      <c r="F11" s="58">
        <v>250000</v>
      </c>
      <c r="G11" s="58"/>
      <c r="H11" s="58">
        <v>323199</v>
      </c>
      <c r="I11" s="58"/>
      <c r="J11" s="58"/>
      <c r="K11" s="58"/>
      <c r="L11" s="58">
        <v>450000</v>
      </c>
      <c r="M11" s="59"/>
      <c r="N11" s="54">
        <f>SUM(B11:M11)</f>
        <v>1038199</v>
      </c>
      <c r="O11" s="47">
        <v>1038199</v>
      </c>
      <c r="P11" s="48">
        <f t="shared" si="1"/>
        <v>0</v>
      </c>
    </row>
    <row r="12" spans="1:256" ht="15.75" x14ac:dyDescent="0.25">
      <c r="A12" s="50" t="s">
        <v>22</v>
      </c>
      <c r="B12" s="58"/>
      <c r="C12" s="58"/>
      <c r="D12" s="58"/>
      <c r="E12" s="58"/>
      <c r="F12" s="58"/>
      <c r="G12" s="58"/>
      <c r="H12" s="58"/>
      <c r="I12" s="58"/>
      <c r="J12" s="58">
        <v>50000</v>
      </c>
      <c r="K12" s="58"/>
      <c r="L12" s="58"/>
      <c r="M12" s="58"/>
      <c r="N12" s="54">
        <f>SUM(B12:M12)</f>
        <v>50000</v>
      </c>
      <c r="O12" s="47">
        <v>50000</v>
      </c>
      <c r="P12" s="48">
        <f t="shared" si="1"/>
        <v>0</v>
      </c>
    </row>
    <row r="13" spans="1:256" s="57" customFormat="1" ht="23.85" customHeight="1" x14ac:dyDescent="0.25">
      <c r="A13" s="55" t="s">
        <v>65</v>
      </c>
      <c r="B13" s="56">
        <f>SUM(B10:B12)</f>
        <v>0</v>
      </c>
      <c r="C13" s="56">
        <f t="shared" ref="C13:N13" si="3">SUM(C10:C12)</f>
        <v>165000</v>
      </c>
      <c r="D13" s="56">
        <f t="shared" si="3"/>
        <v>0</v>
      </c>
      <c r="E13" s="56">
        <f t="shared" si="3"/>
        <v>0</v>
      </c>
      <c r="F13" s="56">
        <f t="shared" si="3"/>
        <v>750000</v>
      </c>
      <c r="G13" s="56">
        <f t="shared" si="3"/>
        <v>0</v>
      </c>
      <c r="H13" s="56">
        <f t="shared" si="3"/>
        <v>323199</v>
      </c>
      <c r="I13" s="56">
        <f t="shared" si="3"/>
        <v>0</v>
      </c>
      <c r="J13" s="56">
        <f t="shared" si="3"/>
        <v>50000</v>
      </c>
      <c r="K13" s="56">
        <f t="shared" si="3"/>
        <v>256349</v>
      </c>
      <c r="L13" s="56">
        <f t="shared" si="3"/>
        <v>450000</v>
      </c>
      <c r="M13" s="56">
        <f t="shared" si="3"/>
        <v>0</v>
      </c>
      <c r="N13" s="56">
        <f t="shared" si="3"/>
        <v>1994548</v>
      </c>
      <c r="O13" s="47">
        <f>SUM(O10:O12)</f>
        <v>1994548</v>
      </c>
      <c r="P13" s="48">
        <f t="shared" si="1"/>
        <v>0</v>
      </c>
      <c r="IN13" s="49"/>
      <c r="IO13" s="49"/>
      <c r="IP13" s="49"/>
      <c r="IQ13" s="49"/>
      <c r="IR13" s="32"/>
      <c r="IS13" s="32"/>
      <c r="IT13" s="32"/>
      <c r="IU13" s="32"/>
      <c r="IV13" s="32"/>
    </row>
    <row r="14" spans="1:256" s="57" customFormat="1" ht="23.85" customHeight="1" x14ac:dyDescent="0.25">
      <c r="A14" s="55" t="s">
        <v>66</v>
      </c>
      <c r="B14" s="56">
        <v>15500</v>
      </c>
      <c r="C14" s="56">
        <v>15500</v>
      </c>
      <c r="D14" s="56">
        <v>15000</v>
      </c>
      <c r="E14" s="56"/>
      <c r="F14" s="56"/>
      <c r="G14" s="56"/>
      <c r="H14" s="56"/>
      <c r="I14" s="56"/>
      <c r="J14" s="56"/>
      <c r="K14" s="56"/>
      <c r="L14" s="56"/>
      <c r="M14" s="56"/>
      <c r="N14" s="56">
        <f>SUM(B14:M14)</f>
        <v>46000</v>
      </c>
      <c r="O14" s="47">
        <v>46000</v>
      </c>
      <c r="P14" s="48">
        <f t="shared" si="1"/>
        <v>0</v>
      </c>
      <c r="IN14" s="49"/>
      <c r="IO14" s="49"/>
      <c r="IP14" s="49"/>
      <c r="IQ14" s="49"/>
      <c r="IR14" s="32"/>
      <c r="IS14" s="32"/>
      <c r="IT14" s="32"/>
      <c r="IU14" s="32"/>
      <c r="IV14" s="32"/>
    </row>
    <row r="15" spans="1:256" s="57" customFormat="1" ht="23.85" customHeight="1" x14ac:dyDescent="0.25">
      <c r="A15" s="60" t="s">
        <v>67</v>
      </c>
      <c r="B15" s="61">
        <f>B9+B13+B14</f>
        <v>883023</v>
      </c>
      <c r="C15" s="61">
        <f t="shared" ref="C15:M15" si="4">C9+C13+C14</f>
        <v>1039050</v>
      </c>
      <c r="D15" s="61">
        <f t="shared" si="4"/>
        <v>983550</v>
      </c>
      <c r="E15" s="61">
        <f t="shared" si="4"/>
        <v>1034550</v>
      </c>
      <c r="F15" s="61">
        <f t="shared" si="4"/>
        <v>1923550</v>
      </c>
      <c r="G15" s="61">
        <f t="shared" si="4"/>
        <v>1310550</v>
      </c>
      <c r="H15" s="61">
        <f t="shared" si="4"/>
        <v>1289749</v>
      </c>
      <c r="I15" s="61">
        <f t="shared" si="4"/>
        <v>966550</v>
      </c>
      <c r="J15" s="61">
        <f t="shared" si="4"/>
        <v>1460550</v>
      </c>
      <c r="K15" s="61">
        <f t="shared" si="4"/>
        <v>1222899</v>
      </c>
      <c r="L15" s="61">
        <f t="shared" si="4"/>
        <v>1593236</v>
      </c>
      <c r="M15" s="61">
        <f t="shared" si="4"/>
        <v>968155</v>
      </c>
      <c r="N15" s="61">
        <f>N9+N13+N14</f>
        <v>14675412</v>
      </c>
      <c r="O15" s="47">
        <f>+O9+O13+O14</f>
        <v>14675412</v>
      </c>
      <c r="P15" s="48"/>
      <c r="IN15" s="49"/>
      <c r="IO15" s="49"/>
      <c r="IP15" s="49"/>
      <c r="IQ15" s="49"/>
      <c r="IR15" s="32"/>
      <c r="IS15" s="32"/>
      <c r="IT15" s="32"/>
      <c r="IU15" s="32"/>
      <c r="IV15" s="32"/>
    </row>
    <row r="16" spans="1:256" s="53" customFormat="1" ht="23.85" customHeight="1" x14ac:dyDescent="0.25">
      <c r="A16" s="52" t="s">
        <v>2</v>
      </c>
      <c r="N16" s="53">
        <f t="shared" si="0"/>
        <v>0</v>
      </c>
      <c r="P16" s="48">
        <f t="shared" si="1"/>
        <v>0</v>
      </c>
      <c r="IN16" s="49"/>
      <c r="IO16" s="49"/>
      <c r="IP16" s="49"/>
      <c r="IQ16" s="49"/>
      <c r="IR16" s="32"/>
      <c r="IS16" s="32"/>
      <c r="IT16" s="32"/>
      <c r="IU16" s="32"/>
      <c r="IV16" s="32"/>
    </row>
    <row r="17" spans="1:256" ht="29.25" customHeight="1" x14ac:dyDescent="0.25">
      <c r="A17" s="50" t="s">
        <v>5</v>
      </c>
      <c r="B17" s="54">
        <v>177000</v>
      </c>
      <c r="C17" s="54">
        <v>177100</v>
      </c>
      <c r="D17" s="54">
        <v>177000</v>
      </c>
      <c r="E17" s="54">
        <v>177000</v>
      </c>
      <c r="F17" s="54">
        <v>177000</v>
      </c>
      <c r="G17" s="54">
        <v>177000</v>
      </c>
      <c r="H17" s="54">
        <v>177996</v>
      </c>
      <c r="I17" s="54">
        <v>177000</v>
      </c>
      <c r="J17" s="54">
        <v>177000</v>
      </c>
      <c r="K17" s="54">
        <v>177000</v>
      </c>
      <c r="L17" s="54">
        <v>177000</v>
      </c>
      <c r="M17" s="54">
        <v>177000</v>
      </c>
      <c r="N17" s="54">
        <f t="shared" si="0"/>
        <v>2125096</v>
      </c>
      <c r="O17" s="47">
        <v>2125096</v>
      </c>
      <c r="P17" s="48">
        <f t="shared" si="1"/>
        <v>0</v>
      </c>
      <c r="Q17" s="47">
        <f>+P17/12</f>
        <v>0</v>
      </c>
    </row>
    <row r="18" spans="1:256" ht="15.75" x14ac:dyDescent="0.25">
      <c r="A18" s="50" t="s">
        <v>8</v>
      </c>
      <c r="B18" s="54"/>
      <c r="C18" s="54">
        <v>20000</v>
      </c>
      <c r="D18" s="54">
        <v>1450000</v>
      </c>
      <c r="E18" s="54">
        <v>10000</v>
      </c>
      <c r="F18" s="54">
        <v>10000</v>
      </c>
      <c r="G18" s="54">
        <v>10000</v>
      </c>
      <c r="H18" s="54">
        <v>5000</v>
      </c>
      <c r="I18" s="54">
        <v>5000</v>
      </c>
      <c r="J18" s="54">
        <v>1450000</v>
      </c>
      <c r="K18" s="54">
        <v>10000</v>
      </c>
      <c r="L18" s="54">
        <v>6315</v>
      </c>
      <c r="M18" s="54">
        <v>10000</v>
      </c>
      <c r="N18" s="54">
        <f t="shared" si="0"/>
        <v>2986315</v>
      </c>
      <c r="O18" s="47">
        <v>2986315</v>
      </c>
      <c r="P18" s="48">
        <f t="shared" si="1"/>
        <v>0</v>
      </c>
    </row>
    <row r="19" spans="1:256" ht="15.75" x14ac:dyDescent="0.25">
      <c r="A19" s="50" t="s">
        <v>10</v>
      </c>
      <c r="B19" s="54">
        <v>100000</v>
      </c>
      <c r="C19" s="54">
        <v>100000</v>
      </c>
      <c r="D19" s="54">
        <v>250000</v>
      </c>
      <c r="E19" s="54">
        <v>214500</v>
      </c>
      <c r="F19" s="54">
        <v>214500</v>
      </c>
      <c r="G19" s="54">
        <v>500000</v>
      </c>
      <c r="H19" s="54">
        <v>156000</v>
      </c>
      <c r="I19" s="54">
        <v>100000</v>
      </c>
      <c r="J19" s="54">
        <v>210000</v>
      </c>
      <c r="K19" s="54">
        <v>100000</v>
      </c>
      <c r="L19" s="54">
        <v>100000</v>
      </c>
      <c r="M19" s="54">
        <v>100000</v>
      </c>
      <c r="N19" s="54">
        <f t="shared" si="0"/>
        <v>2145000</v>
      </c>
      <c r="O19" s="47">
        <v>2145000</v>
      </c>
      <c r="P19" s="48">
        <f t="shared" si="1"/>
        <v>0</v>
      </c>
    </row>
    <row r="20" spans="1:256" ht="15.75" x14ac:dyDescent="0.25">
      <c r="A20" s="50" t="s">
        <v>13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>
        <f t="shared" si="0"/>
        <v>0</v>
      </c>
      <c r="O20" s="47">
        <v>0</v>
      </c>
      <c r="P20" s="48">
        <f t="shared" si="1"/>
        <v>0</v>
      </c>
    </row>
    <row r="21" spans="1:256" s="57" customFormat="1" ht="23.85" customHeight="1" x14ac:dyDescent="0.25">
      <c r="A21" s="55" t="s">
        <v>68</v>
      </c>
      <c r="B21" s="56">
        <f>SUM(B17:B20)</f>
        <v>277000</v>
      </c>
      <c r="C21" s="56">
        <f t="shared" ref="C21:M21" si="5">SUM(C17:C20)</f>
        <v>297100</v>
      </c>
      <c r="D21" s="56">
        <f t="shared" si="5"/>
        <v>1877000</v>
      </c>
      <c r="E21" s="56">
        <f t="shared" si="5"/>
        <v>401500</v>
      </c>
      <c r="F21" s="56">
        <f t="shared" si="5"/>
        <v>401500</v>
      </c>
      <c r="G21" s="56">
        <f t="shared" si="5"/>
        <v>687000</v>
      </c>
      <c r="H21" s="56">
        <f t="shared" si="5"/>
        <v>338996</v>
      </c>
      <c r="I21" s="56">
        <f t="shared" si="5"/>
        <v>282000</v>
      </c>
      <c r="J21" s="56">
        <f t="shared" si="5"/>
        <v>1837000</v>
      </c>
      <c r="K21" s="56">
        <f t="shared" si="5"/>
        <v>287000</v>
      </c>
      <c r="L21" s="56">
        <f t="shared" si="5"/>
        <v>283315</v>
      </c>
      <c r="M21" s="56">
        <f t="shared" si="5"/>
        <v>287000</v>
      </c>
      <c r="N21" s="56">
        <f t="shared" si="0"/>
        <v>7256411</v>
      </c>
      <c r="O21" s="47">
        <f>SUM(O17:O20)</f>
        <v>7256411</v>
      </c>
      <c r="P21" s="48">
        <f t="shared" si="1"/>
        <v>0</v>
      </c>
      <c r="IN21" s="49"/>
      <c r="IO21" s="49"/>
      <c r="IP21" s="49"/>
      <c r="IQ21" s="49"/>
      <c r="IR21" s="32"/>
      <c r="IS21" s="32"/>
      <c r="IT21" s="32"/>
      <c r="IU21" s="32"/>
      <c r="IV21" s="32"/>
    </row>
    <row r="22" spans="1:256" ht="26.25" x14ac:dyDescent="0.25">
      <c r="A22" s="62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>
        <f t="shared" si="0"/>
        <v>0</v>
      </c>
      <c r="O22" s="47">
        <v>0</v>
      </c>
      <c r="P22" s="48">
        <f t="shared" si="1"/>
        <v>0</v>
      </c>
    </row>
    <row r="23" spans="1:256" ht="15.75" x14ac:dyDescent="0.25">
      <c r="A23" s="62" t="s">
        <v>19</v>
      </c>
      <c r="B23" s="54"/>
      <c r="C23" s="54"/>
      <c r="D23" s="54"/>
      <c r="E23" s="54"/>
      <c r="F23" s="54"/>
      <c r="G23" s="54"/>
      <c r="H23" s="54">
        <v>100000</v>
      </c>
      <c r="I23" s="54"/>
      <c r="J23" s="54">
        <v>100000</v>
      </c>
      <c r="K23" s="54"/>
      <c r="L23" s="54">
        <v>550000</v>
      </c>
      <c r="M23" s="54"/>
      <c r="N23" s="54">
        <f>SUM(B23:M23)</f>
        <v>750000</v>
      </c>
      <c r="O23" s="47">
        <v>750000</v>
      </c>
      <c r="P23" s="48">
        <f t="shared" si="1"/>
        <v>0</v>
      </c>
    </row>
    <row r="24" spans="1:256" ht="15.75" x14ac:dyDescent="0.25">
      <c r="A24" s="62" t="s">
        <v>21</v>
      </c>
      <c r="B24" s="54"/>
      <c r="C24" s="54"/>
      <c r="D24" s="54"/>
      <c r="E24" s="54"/>
      <c r="F24" s="54"/>
      <c r="G24" s="54"/>
      <c r="H24" s="54"/>
      <c r="I24" s="54"/>
      <c r="J24" s="54">
        <v>9000</v>
      </c>
      <c r="K24" s="54"/>
      <c r="L24" s="54"/>
      <c r="M24" s="54"/>
      <c r="N24" s="54">
        <f>SUM(B24:M24)</f>
        <v>9000</v>
      </c>
      <c r="O24" s="47">
        <v>9000</v>
      </c>
      <c r="P24" s="48">
        <f t="shared" si="1"/>
        <v>0</v>
      </c>
    </row>
    <row r="25" spans="1:256" ht="22.7" customHeight="1" x14ac:dyDescent="0.25">
      <c r="A25" s="55" t="s">
        <v>69</v>
      </c>
      <c r="B25" s="56">
        <f>SUM(B22:B24)</f>
        <v>0</v>
      </c>
      <c r="C25" s="56">
        <f>SUM(C22:C24)</f>
        <v>0</v>
      </c>
      <c r="D25" s="56">
        <f t="shared" ref="D25:N25" si="6">SUM(D22:D24)</f>
        <v>0</v>
      </c>
      <c r="E25" s="56">
        <f t="shared" si="6"/>
        <v>0</v>
      </c>
      <c r="F25" s="56">
        <f t="shared" si="6"/>
        <v>0</v>
      </c>
      <c r="G25" s="56">
        <f t="shared" si="6"/>
        <v>0</v>
      </c>
      <c r="H25" s="56">
        <f t="shared" si="6"/>
        <v>100000</v>
      </c>
      <c r="I25" s="56">
        <f t="shared" si="6"/>
        <v>0</v>
      </c>
      <c r="J25" s="56">
        <f t="shared" si="6"/>
        <v>109000</v>
      </c>
      <c r="K25" s="56">
        <f t="shared" si="6"/>
        <v>0</v>
      </c>
      <c r="L25" s="56">
        <f t="shared" si="6"/>
        <v>550000</v>
      </c>
      <c r="M25" s="56">
        <f t="shared" si="6"/>
        <v>0</v>
      </c>
      <c r="N25" s="56">
        <f t="shared" si="6"/>
        <v>759000</v>
      </c>
      <c r="O25" s="47">
        <f>SUM(O22:O24)</f>
        <v>759000</v>
      </c>
    </row>
    <row r="26" spans="1:256" ht="25.5" customHeight="1" x14ac:dyDescent="0.25">
      <c r="A26" s="55" t="s">
        <v>70</v>
      </c>
      <c r="B26" s="56">
        <v>6660000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>
        <f>SUM(B26:M26)</f>
        <v>6660000</v>
      </c>
      <c r="O26" s="47">
        <f>4160000+2500000</f>
        <v>6660000</v>
      </c>
      <c r="P26" s="48">
        <f t="shared" si="1"/>
        <v>0</v>
      </c>
    </row>
    <row r="27" spans="1:256" s="57" customFormat="1" ht="23.85" customHeight="1" x14ac:dyDescent="0.25">
      <c r="A27" s="60" t="s">
        <v>71</v>
      </c>
      <c r="B27" s="61">
        <f>B21+B25+B26</f>
        <v>6937000</v>
      </c>
      <c r="C27" s="61">
        <f t="shared" ref="C27:M27" si="7">C21+C25+C26</f>
        <v>297100</v>
      </c>
      <c r="D27" s="61">
        <f t="shared" si="7"/>
        <v>1877000</v>
      </c>
      <c r="E27" s="61">
        <f t="shared" si="7"/>
        <v>401500</v>
      </c>
      <c r="F27" s="61">
        <f t="shared" si="7"/>
        <v>401500</v>
      </c>
      <c r="G27" s="61">
        <f t="shared" si="7"/>
        <v>687000</v>
      </c>
      <c r="H27" s="61">
        <f t="shared" si="7"/>
        <v>438996</v>
      </c>
      <c r="I27" s="61">
        <f t="shared" si="7"/>
        <v>282000</v>
      </c>
      <c r="J27" s="61">
        <f t="shared" si="7"/>
        <v>1946000</v>
      </c>
      <c r="K27" s="61">
        <f t="shared" si="7"/>
        <v>287000</v>
      </c>
      <c r="L27" s="61">
        <f t="shared" si="7"/>
        <v>833315</v>
      </c>
      <c r="M27" s="61">
        <f t="shared" si="7"/>
        <v>287000</v>
      </c>
      <c r="N27" s="61">
        <f>SUM(B27:M27)</f>
        <v>14675411</v>
      </c>
      <c r="O27" s="47">
        <f>+O21+O25+O26</f>
        <v>14675411</v>
      </c>
      <c r="P27" s="48">
        <f t="shared" si="1"/>
        <v>0</v>
      </c>
      <c r="IN27" s="49"/>
      <c r="IO27" s="49"/>
      <c r="IP27" s="49"/>
      <c r="IQ27" s="49"/>
      <c r="IR27" s="32"/>
      <c r="IS27" s="32"/>
      <c r="IT27" s="32"/>
      <c r="IU27" s="32"/>
      <c r="IV27" s="32"/>
    </row>
    <row r="28" spans="1:256" ht="23.85" customHeight="1" x14ac:dyDescent="0.25">
      <c r="A28" s="50" t="s">
        <v>72</v>
      </c>
      <c r="B28" s="54">
        <f>B27-B15</f>
        <v>6053977</v>
      </c>
      <c r="C28" s="54">
        <f>C27-C15+B28</f>
        <v>5312027</v>
      </c>
      <c r="D28" s="54">
        <f t="shared" ref="D28:L28" si="8">D27-D15+C28</f>
        <v>6205477</v>
      </c>
      <c r="E28" s="54">
        <f t="shared" si="8"/>
        <v>5572427</v>
      </c>
      <c r="F28" s="54">
        <f t="shared" si="8"/>
        <v>4050377</v>
      </c>
      <c r="G28" s="54">
        <f t="shared" si="8"/>
        <v>3426827</v>
      </c>
      <c r="H28" s="54">
        <f t="shared" si="8"/>
        <v>2576074</v>
      </c>
      <c r="I28" s="54">
        <f t="shared" si="8"/>
        <v>1891524</v>
      </c>
      <c r="J28" s="54">
        <f t="shared" si="8"/>
        <v>2376974</v>
      </c>
      <c r="K28" s="54">
        <f t="shared" si="8"/>
        <v>1441075</v>
      </c>
      <c r="L28" s="54">
        <f t="shared" si="8"/>
        <v>681154</v>
      </c>
      <c r="M28" s="63"/>
      <c r="N28" s="54"/>
    </row>
  </sheetData>
  <mergeCells count="1">
    <mergeCell ref="B1:M1"/>
  </mergeCells>
  <printOptions horizontalCentered="1"/>
  <pageMargins left="0.59055118110236227" right="0.59055118110236227" top="0.78740157480314965" bottom="0.74803149606299213" header="0.62992125984251968" footer="0.62992125984251968"/>
  <pageSetup paperSize="9" scale="53" firstPageNumber="0" orientation="landscape" r:id="rId1"/>
  <headerFooter alignWithMargins="0">
    <oddHeader xml:space="preserve">&amp;C&amp;10Előirányzat felhasználási ütemterv&amp;R 5. tájékoztató tábla </oddHeader>
    <oddFooter>&amp;C&amp;8&amp;P&amp;R&amp;8&amp;D  &amp;T</oddFooter>
  </headerFooter>
  <colBreaks count="1" manualBreakCount="1">
    <brk id="14" max="2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view="pageBreakPreview" zoomScale="85" zoomScaleNormal="100" zoomScaleSheetLayoutView="85" workbookViewId="0">
      <selection activeCell="F4" sqref="F4"/>
    </sheetView>
  </sheetViews>
  <sheetFormatPr defaultColWidth="9.140625" defaultRowHeight="14.25" x14ac:dyDescent="0.2"/>
  <cols>
    <col min="1" max="1" width="6.5703125" style="2" customWidth="1"/>
    <col min="2" max="2" width="43.85546875" style="3" customWidth="1"/>
    <col min="3" max="3" width="18.85546875" style="5" bestFit="1" customWidth="1"/>
    <col min="4" max="4" width="18.85546875" style="5" customWidth="1"/>
    <col min="5" max="5" width="17.5703125" style="4" customWidth="1"/>
    <col min="6" max="6" width="17.7109375" style="4" customWidth="1"/>
    <col min="7" max="7" width="17.85546875" style="4" customWidth="1"/>
    <col min="8" max="8" width="17.28515625" style="4" customWidth="1"/>
    <col min="9" max="9" width="17.7109375" style="4" hidden="1" customWidth="1"/>
    <col min="10" max="10" width="18" style="4" hidden="1" customWidth="1"/>
    <col min="11" max="11" width="20" style="4" hidden="1" customWidth="1"/>
    <col min="12" max="12" width="21.5703125" style="3" customWidth="1"/>
    <col min="13" max="13" width="22.85546875" style="2" customWidth="1"/>
    <col min="14" max="16384" width="9.140625" style="2"/>
  </cols>
  <sheetData>
    <row r="1" spans="1:13" s="1" customFormat="1" ht="23.25" customHeight="1" x14ac:dyDescent="0.25">
      <c r="A1" s="1177" t="s">
        <v>23</v>
      </c>
      <c r="B1" s="1177"/>
      <c r="C1" s="1177"/>
      <c r="D1" s="1177"/>
      <c r="E1" s="1177"/>
      <c r="F1" s="1177"/>
      <c r="G1" s="1177"/>
      <c r="H1" s="1177"/>
      <c r="I1" s="1177"/>
      <c r="J1" s="1177"/>
      <c r="K1" s="9"/>
      <c r="L1" s="10"/>
      <c r="M1" s="11"/>
    </row>
    <row r="2" spans="1:13" ht="33" customHeight="1" x14ac:dyDescent="0.25">
      <c r="A2" s="12"/>
      <c r="B2" s="13"/>
      <c r="C2" s="14"/>
      <c r="D2" s="14"/>
      <c r="E2" s="15"/>
      <c r="F2" s="15"/>
      <c r="G2" s="15"/>
      <c r="H2" s="66" t="s">
        <v>0</v>
      </c>
      <c r="I2" s="66"/>
      <c r="K2" s="15"/>
      <c r="L2" s="13"/>
      <c r="M2" s="12"/>
    </row>
    <row r="3" spans="1:13" s="6" customFormat="1" ht="15.75" x14ac:dyDescent="0.25">
      <c r="A3" s="1178" t="s">
        <v>1</v>
      </c>
      <c r="B3" s="1180" t="s">
        <v>24</v>
      </c>
      <c r="C3" s="1182" t="s">
        <v>25</v>
      </c>
      <c r="D3" s="1175" t="s">
        <v>26</v>
      </c>
      <c r="E3" s="1175" t="s">
        <v>76</v>
      </c>
      <c r="F3" s="1184" t="s">
        <v>27</v>
      </c>
      <c r="G3" s="1185"/>
      <c r="H3" s="1185"/>
      <c r="I3" s="1185"/>
      <c r="J3" s="1186"/>
      <c r="K3" s="16">
        <v>2020</v>
      </c>
      <c r="L3" s="1175" t="s">
        <v>28</v>
      </c>
      <c r="M3" s="1175" t="s">
        <v>29</v>
      </c>
    </row>
    <row r="4" spans="1:13" ht="32.25" customHeight="1" x14ac:dyDescent="0.25">
      <c r="A4" s="1179"/>
      <c r="B4" s="1181"/>
      <c r="C4" s="1179"/>
      <c r="D4" s="1183"/>
      <c r="E4" s="1176"/>
      <c r="F4" s="17" t="s">
        <v>30</v>
      </c>
      <c r="G4" s="17" t="s">
        <v>39</v>
      </c>
      <c r="H4" s="17" t="s">
        <v>73</v>
      </c>
      <c r="I4" s="17" t="s">
        <v>77</v>
      </c>
      <c r="J4" s="17" t="s">
        <v>78</v>
      </c>
      <c r="K4" s="18"/>
      <c r="L4" s="1176"/>
      <c r="M4" s="1176"/>
    </row>
    <row r="5" spans="1:13" s="7" customFormat="1" ht="28.5" customHeight="1" x14ac:dyDescent="0.25">
      <c r="A5" s="19" t="s">
        <v>31</v>
      </c>
      <c r="B5" s="20" t="s">
        <v>32</v>
      </c>
      <c r="C5" s="21"/>
      <c r="D5" s="21"/>
      <c r="E5" s="21">
        <f>SUM(E6)</f>
        <v>0</v>
      </c>
      <c r="F5" s="21">
        <f t="shared" ref="F5:M5" si="0">SUM(F6)</f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</row>
    <row r="6" spans="1:13" ht="28.5" customHeight="1" x14ac:dyDescent="0.2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7" customFormat="1" ht="28.5" customHeight="1" x14ac:dyDescent="0.25">
      <c r="A7" s="19" t="s">
        <v>7</v>
      </c>
      <c r="B7" s="20" t="s">
        <v>33</v>
      </c>
      <c r="C7" s="21"/>
      <c r="D7" s="21"/>
      <c r="E7" s="21">
        <f>SUM(E8)</f>
        <v>0</v>
      </c>
      <c r="F7" s="21">
        <f>SUM(F8)</f>
        <v>0</v>
      </c>
      <c r="G7" s="21">
        <f>SUM(G8)</f>
        <v>0</v>
      </c>
      <c r="H7" s="21">
        <f t="shared" ref="H7:L7" si="1">SUM(H8:H9)</f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>SUM(M8)</f>
        <v>0</v>
      </c>
    </row>
    <row r="8" spans="1:13" ht="28.5" customHeight="1" x14ac:dyDescent="0.2">
      <c r="A8" s="22"/>
      <c r="B8" s="23"/>
      <c r="C8" s="65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28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7" customFormat="1" ht="28.5" customHeight="1" x14ac:dyDescent="0.25">
      <c r="A10" s="19" t="s">
        <v>34</v>
      </c>
      <c r="B10" s="20" t="s">
        <v>35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7" customFormat="1" ht="28.5" hidden="1" customHeight="1" x14ac:dyDescent="0.25">
      <c r="A11" s="19" t="s">
        <v>12</v>
      </c>
      <c r="B11" s="20" t="s">
        <v>36</v>
      </c>
      <c r="C11" s="21"/>
      <c r="D11" s="21"/>
      <c r="E11" s="21">
        <f>SUM(E12:E17)</f>
        <v>0</v>
      </c>
      <c r="F11" s="21">
        <f t="shared" ref="F11:M11" si="2">SUM(F12:F17)</f>
        <v>0</v>
      </c>
      <c r="G11" s="21">
        <f t="shared" si="2"/>
        <v>0</v>
      </c>
      <c r="H11" s="21">
        <f t="shared" si="2"/>
        <v>0</v>
      </c>
      <c r="I11" s="21">
        <f t="shared" si="2"/>
        <v>0</v>
      </c>
      <c r="J11" s="21">
        <f t="shared" si="2"/>
        <v>0</v>
      </c>
      <c r="K11" s="21">
        <f t="shared" si="2"/>
        <v>0</v>
      </c>
      <c r="L11" s="21">
        <f t="shared" si="2"/>
        <v>0</v>
      </c>
      <c r="M11" s="21">
        <f t="shared" si="2"/>
        <v>0</v>
      </c>
    </row>
    <row r="12" spans="1:13" ht="28.5" hidden="1" customHeight="1" x14ac:dyDescent="0.2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8.5" hidden="1" customHeight="1" x14ac:dyDescent="0.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8.5" hidden="1" customHeight="1" x14ac:dyDescent="0.2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28.5" hidden="1" customHeight="1" x14ac:dyDescent="0.2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8.5" hidden="1" customHeight="1" x14ac:dyDescent="0.2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8.5" hidden="1" customHeight="1" x14ac:dyDescent="0.2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7" customFormat="1" ht="28.5" hidden="1" customHeight="1" x14ac:dyDescent="0.25">
      <c r="A18" s="19" t="s">
        <v>15</v>
      </c>
      <c r="B18" s="20" t="s">
        <v>37</v>
      </c>
      <c r="C18" s="21"/>
      <c r="D18" s="21"/>
      <c r="E18" s="21">
        <f>SUM(E19)</f>
        <v>0</v>
      </c>
      <c r="F18" s="21">
        <f t="shared" ref="F18:M18" si="3">SUM(F19)</f>
        <v>0</v>
      </c>
      <c r="G18" s="21">
        <f t="shared" si="3"/>
        <v>0</v>
      </c>
      <c r="H18" s="21">
        <f t="shared" si="3"/>
        <v>0</v>
      </c>
      <c r="I18" s="21">
        <f t="shared" si="3"/>
        <v>0</v>
      </c>
      <c r="J18" s="21">
        <f t="shared" si="3"/>
        <v>0</v>
      </c>
      <c r="K18" s="21">
        <f t="shared" si="3"/>
        <v>0</v>
      </c>
      <c r="L18" s="21">
        <f t="shared" si="3"/>
        <v>0</v>
      </c>
      <c r="M18" s="21">
        <f t="shared" si="3"/>
        <v>0</v>
      </c>
    </row>
    <row r="19" spans="1:13" s="8" customFormat="1" ht="28.5" hidden="1" customHeight="1" x14ac:dyDescent="0.25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s="6" customFormat="1" ht="32.25" customHeight="1" x14ac:dyDescent="0.25">
      <c r="A20" s="25"/>
      <c r="B20" s="26" t="s">
        <v>38</v>
      </c>
      <c r="C20" s="27"/>
      <c r="D20" s="27"/>
      <c r="E20" s="28">
        <f>E5+E7+E10+E11+E18</f>
        <v>0</v>
      </c>
      <c r="F20" s="28">
        <f t="shared" ref="F20:M20" si="4">F5+F7+F10+F11+F18</f>
        <v>0</v>
      </c>
      <c r="G20" s="28">
        <f t="shared" si="4"/>
        <v>0</v>
      </c>
      <c r="H20" s="28">
        <f t="shared" si="4"/>
        <v>0</v>
      </c>
      <c r="I20" s="28">
        <f t="shared" si="4"/>
        <v>0</v>
      </c>
      <c r="J20" s="28">
        <f t="shared" si="4"/>
        <v>0</v>
      </c>
      <c r="K20" s="28">
        <f t="shared" si="4"/>
        <v>0</v>
      </c>
      <c r="L20" s="28">
        <f t="shared" si="4"/>
        <v>0</v>
      </c>
      <c r="M20" s="28">
        <f t="shared" si="4"/>
        <v>0</v>
      </c>
    </row>
    <row r="27" spans="1:13" hidden="1" x14ac:dyDescent="0.2"/>
    <row r="28" spans="1:13" hidden="1" x14ac:dyDescent="0.2"/>
    <row r="29" spans="1:13" hidden="1" x14ac:dyDescent="0.2"/>
    <row r="30" spans="1:13" hidden="1" x14ac:dyDescent="0.2">
      <c r="G30" s="4" t="e">
        <f>#REF!+#REF!</f>
        <v>#REF!</v>
      </c>
    </row>
    <row r="31" spans="1:13" hidden="1" x14ac:dyDescent="0.2">
      <c r="G31" s="4" t="e">
        <f>#REF!+#REF!</f>
        <v>#REF!</v>
      </c>
    </row>
    <row r="32" spans="1:13" hidden="1" x14ac:dyDescent="0.2">
      <c r="G32" s="4" t="e">
        <f>#REF!+#REF!</f>
        <v>#REF!</v>
      </c>
    </row>
    <row r="33" spans="7:7" hidden="1" x14ac:dyDescent="0.2">
      <c r="G33" s="4" t="e">
        <f>#REF!+#REF!</f>
        <v>#REF!</v>
      </c>
    </row>
    <row r="34" spans="7:7" hidden="1" x14ac:dyDescent="0.2">
      <c r="G34" s="4" t="e">
        <f>#REF!+#REF!</f>
        <v>#REF!</v>
      </c>
    </row>
    <row r="35" spans="7:7" hidden="1" x14ac:dyDescent="0.2">
      <c r="G35" s="4" t="e">
        <f>#REF!+#REF!</f>
        <v>#REF!</v>
      </c>
    </row>
    <row r="36" spans="7:7" hidden="1" x14ac:dyDescent="0.2">
      <c r="G36" s="4" t="e">
        <f>#REF!+#REF!</f>
        <v>#REF!</v>
      </c>
    </row>
    <row r="37" spans="7:7" hidden="1" x14ac:dyDescent="0.2">
      <c r="G37" s="4" t="e">
        <f>#REF!+#REF!</f>
        <v>#REF!</v>
      </c>
    </row>
    <row r="38" spans="7:7" hidden="1" x14ac:dyDescent="0.2"/>
    <row r="39" spans="7:7" hidden="1" x14ac:dyDescent="0.2"/>
    <row r="40" spans="7:7" hidden="1" x14ac:dyDescent="0.2"/>
    <row r="41" spans="7:7" hidden="1" x14ac:dyDescent="0.2"/>
    <row r="42" spans="7:7" hidden="1" x14ac:dyDescent="0.2"/>
    <row r="43" spans="7:7" hidden="1" x14ac:dyDescent="0.2"/>
  </sheetData>
  <mergeCells count="9">
    <mergeCell ref="L3:L4"/>
    <mergeCell ref="M3:M4"/>
    <mergeCell ref="A1:J1"/>
    <mergeCell ref="A3:A4"/>
    <mergeCell ref="B3:B4"/>
    <mergeCell ref="C3:C4"/>
    <mergeCell ref="D3:D4"/>
    <mergeCell ref="E3:E4"/>
    <mergeCell ref="F3:J3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71" orientation="landscape" r:id="rId1"/>
  <headerFooter>
    <oddHeader xml:space="preserve">&amp;R 6. tájékoztató tábla  </oddHeader>
    <oddFooter>&amp;C&amp;10&amp;P&amp;R&amp;10&amp;D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70"/>
  <sheetViews>
    <sheetView view="pageBreakPreview" zoomScale="102" zoomScaleNormal="100" zoomScaleSheetLayoutView="102" workbookViewId="0">
      <selection activeCell="B1" sqref="B1:J1"/>
    </sheetView>
  </sheetViews>
  <sheetFormatPr defaultColWidth="9.140625" defaultRowHeight="12.75" x14ac:dyDescent="0.2"/>
  <cols>
    <col min="1" max="1" width="40.7109375" style="691" customWidth="1"/>
    <col min="2" max="2" width="9.85546875" style="712" customWidth="1"/>
    <col min="3" max="3" width="9.42578125" style="712" customWidth="1"/>
    <col min="4" max="4" width="9.28515625" style="712" customWidth="1"/>
    <col min="5" max="5" width="8.5703125" style="712" customWidth="1"/>
    <col min="6" max="6" width="9.42578125" style="712" customWidth="1"/>
    <col min="7" max="7" width="8" style="712" customWidth="1"/>
    <col min="8" max="8" width="10.140625" style="712" customWidth="1"/>
    <col min="9" max="9" width="10.7109375" style="722" customWidth="1"/>
    <col min="10" max="10" width="12.140625" style="722" customWidth="1"/>
    <col min="11" max="11" width="10.85546875" style="712" customWidth="1"/>
    <col min="12" max="12" width="9.28515625" style="712" customWidth="1"/>
    <col min="13" max="13" width="11.85546875" style="712" customWidth="1"/>
    <col min="14" max="14" width="10.5703125" style="712" customWidth="1"/>
    <col min="15" max="15" width="11.7109375" style="722" customWidth="1"/>
    <col min="16" max="16" width="13.5703125" style="737" customWidth="1"/>
    <col min="17" max="17" width="13" style="737" customWidth="1"/>
    <col min="18" max="18" width="14.7109375" style="737" customWidth="1"/>
    <col min="19" max="19" width="11.28515625" style="737" customWidth="1"/>
    <col min="20" max="20" width="32" style="737" customWidth="1"/>
    <col min="21" max="16384" width="9.140625" style="737"/>
  </cols>
  <sheetData>
    <row r="1" spans="1:19" s="688" customFormat="1" ht="31.5" customHeight="1" x14ac:dyDescent="0.2">
      <c r="A1" s="1188"/>
      <c r="B1" s="1187" t="s">
        <v>18</v>
      </c>
      <c r="C1" s="1187"/>
      <c r="D1" s="1187"/>
      <c r="E1" s="1187"/>
      <c r="F1" s="1187"/>
      <c r="G1" s="1187"/>
      <c r="H1" s="1187"/>
      <c r="I1" s="1187"/>
      <c r="J1" s="1187"/>
      <c r="K1" s="1187" t="s">
        <v>20</v>
      </c>
      <c r="L1" s="1187"/>
      <c r="M1" s="1187"/>
      <c r="N1" s="1187"/>
      <c r="O1" s="1187"/>
      <c r="P1" s="1187"/>
      <c r="Q1" s="1035"/>
    </row>
    <row r="2" spans="1:19" s="688" customFormat="1" ht="31.5" customHeight="1" x14ac:dyDescent="0.2">
      <c r="A2" s="1188"/>
      <c r="B2" s="1187" t="s">
        <v>1508</v>
      </c>
      <c r="C2" s="1187"/>
      <c r="D2" s="1187"/>
      <c r="E2" s="1187"/>
      <c r="F2" s="1187"/>
      <c r="G2" s="1187"/>
      <c r="H2" s="1187"/>
      <c r="I2" s="1187"/>
      <c r="J2" s="1097" t="s">
        <v>1509</v>
      </c>
      <c r="K2" s="1187" t="s">
        <v>1508</v>
      </c>
      <c r="L2" s="1187"/>
      <c r="M2" s="1187"/>
      <c r="N2" s="1187"/>
      <c r="O2" s="1187"/>
      <c r="P2" s="1097" t="s">
        <v>1509</v>
      </c>
      <c r="Q2" s="1035"/>
    </row>
    <row r="3" spans="1:19" s="688" customFormat="1" ht="31.5" customHeight="1" x14ac:dyDescent="0.2">
      <c r="A3" s="1188"/>
      <c r="B3" s="1098" t="s">
        <v>833</v>
      </c>
      <c r="C3" s="1098" t="s">
        <v>834</v>
      </c>
      <c r="D3" s="1098" t="s">
        <v>835</v>
      </c>
      <c r="E3" s="1098" t="s">
        <v>836</v>
      </c>
      <c r="F3" s="1098" t="s">
        <v>837</v>
      </c>
      <c r="G3" s="1098" t="s">
        <v>838</v>
      </c>
      <c r="H3" s="1098" t="s">
        <v>839</v>
      </c>
      <c r="I3" s="1098" t="s">
        <v>109</v>
      </c>
      <c r="J3" s="1099" t="s">
        <v>109</v>
      </c>
      <c r="K3" s="1098" t="s">
        <v>840</v>
      </c>
      <c r="L3" s="1098" t="s">
        <v>841</v>
      </c>
      <c r="M3" s="1098" t="s">
        <v>842</v>
      </c>
      <c r="N3" s="1098" t="s">
        <v>843</v>
      </c>
      <c r="O3" s="1098" t="s">
        <v>111</v>
      </c>
      <c r="P3" s="1099" t="s">
        <v>111</v>
      </c>
      <c r="Q3" s="1035"/>
    </row>
    <row r="4" spans="1:19" s="691" customFormat="1" ht="51" x14ac:dyDescent="0.2">
      <c r="A4" s="1188"/>
      <c r="B4" s="689" t="s">
        <v>844</v>
      </c>
      <c r="C4" s="689" t="s">
        <v>845</v>
      </c>
      <c r="D4" s="689" t="s">
        <v>846</v>
      </c>
      <c r="E4" s="689" t="s">
        <v>847</v>
      </c>
      <c r="F4" s="689" t="s">
        <v>848</v>
      </c>
      <c r="G4" s="689" t="s">
        <v>849</v>
      </c>
      <c r="H4" s="689" t="s">
        <v>850</v>
      </c>
      <c r="I4" s="1097" t="s">
        <v>851</v>
      </c>
      <c r="J4" s="689" t="s">
        <v>851</v>
      </c>
      <c r="K4" s="689" t="s">
        <v>845</v>
      </c>
      <c r="L4" s="689" t="s">
        <v>846</v>
      </c>
      <c r="M4" s="689" t="s">
        <v>852</v>
      </c>
      <c r="N4" s="689" t="s">
        <v>850</v>
      </c>
      <c r="O4" s="1097" t="s">
        <v>851</v>
      </c>
      <c r="P4" s="689" t="s">
        <v>851</v>
      </c>
      <c r="Q4" s="1036"/>
      <c r="R4" s="690"/>
      <c r="S4" s="690"/>
    </row>
    <row r="5" spans="1:19" s="693" customFormat="1" ht="31.5" customHeight="1" x14ac:dyDescent="0.2">
      <c r="A5" s="694" t="s">
        <v>159</v>
      </c>
      <c r="B5" s="765">
        <f t="shared" ref="B5:P5" si="0">SUM(B6+B65+B77+B107+B162+B217+B238+B256+B266)</f>
        <v>35870.51968503937</v>
      </c>
      <c r="C5" s="749">
        <f t="shared" si="0"/>
        <v>379577</v>
      </c>
      <c r="D5" s="749">
        <f t="shared" si="0"/>
        <v>23676</v>
      </c>
      <c r="E5" s="749">
        <f t="shared" si="0"/>
        <v>352805.99212598428</v>
      </c>
      <c r="F5" s="749">
        <f t="shared" si="0"/>
        <v>0</v>
      </c>
      <c r="G5" s="749">
        <f t="shared" si="0"/>
        <v>0</v>
      </c>
      <c r="H5" s="751">
        <f t="shared" si="0"/>
        <v>213857.55000000002</v>
      </c>
      <c r="I5" s="1011">
        <f>SUM(I6+I65+I77+I107+I162+I217+I238+I256+I266)+1</f>
        <v>1007058.0618110236</v>
      </c>
      <c r="J5" s="1020">
        <f t="shared" si="0"/>
        <v>1007058</v>
      </c>
      <c r="K5" s="751">
        <f t="shared" si="0"/>
        <v>981872</v>
      </c>
      <c r="L5" s="749">
        <f t="shared" si="0"/>
        <v>10000</v>
      </c>
      <c r="M5" s="749">
        <f t="shared" si="0"/>
        <v>5000</v>
      </c>
      <c r="N5" s="749">
        <f t="shared" si="0"/>
        <v>269152.95</v>
      </c>
      <c r="O5" s="1011">
        <f t="shared" si="0"/>
        <v>1266024.95</v>
      </c>
      <c r="P5" s="1020">
        <f t="shared" si="0"/>
        <v>1266025</v>
      </c>
      <c r="Q5" s="1038"/>
      <c r="R5" s="692"/>
      <c r="S5" s="692"/>
    </row>
    <row r="6" spans="1:19" s="698" customFormat="1" ht="31.5" customHeight="1" x14ac:dyDescent="0.2">
      <c r="A6" s="694" t="s">
        <v>853</v>
      </c>
      <c r="B6" s="695">
        <f t="shared" ref="B6:N6" si="1">SUM(B7:B64)</f>
        <v>9842.5196850393695</v>
      </c>
      <c r="C6" s="696">
        <f t="shared" si="1"/>
        <v>379577</v>
      </c>
      <c r="D6" s="696">
        <f t="shared" si="1"/>
        <v>12598</v>
      </c>
      <c r="E6" s="696">
        <f t="shared" si="1"/>
        <v>149975</v>
      </c>
      <c r="F6" s="696">
        <f t="shared" si="1"/>
        <v>0</v>
      </c>
      <c r="G6" s="696">
        <f t="shared" si="1"/>
        <v>0</v>
      </c>
      <c r="H6" s="696">
        <f t="shared" si="1"/>
        <v>149041</v>
      </c>
      <c r="I6" s="1003">
        <f t="shared" si="1"/>
        <v>701033.5196850393</v>
      </c>
      <c r="J6" s="1020">
        <f>SUM(J7:J64)</f>
        <v>701034</v>
      </c>
      <c r="K6" s="745">
        <f t="shared" si="1"/>
        <v>464882</v>
      </c>
      <c r="L6" s="696">
        <f t="shared" si="1"/>
        <v>0</v>
      </c>
      <c r="M6" s="696">
        <f t="shared" si="1"/>
        <v>0</v>
      </c>
      <c r="N6" s="696">
        <f t="shared" si="1"/>
        <v>125520</v>
      </c>
      <c r="O6" s="1003">
        <f>SUM(K6:N6)</f>
        <v>590402</v>
      </c>
      <c r="P6" s="1020">
        <f>SUM(P7:P64)</f>
        <v>590402</v>
      </c>
      <c r="Q6" s="1039"/>
      <c r="R6" s="697"/>
      <c r="S6" s="697"/>
    </row>
    <row r="7" spans="1:19" s="706" customFormat="1" x14ac:dyDescent="0.2">
      <c r="A7" s="699" t="s">
        <v>1076</v>
      </c>
      <c r="B7" s="700">
        <f>12500/1.27</f>
        <v>9842.5196850393695</v>
      </c>
      <c r="C7" s="701"/>
      <c r="D7" s="701"/>
      <c r="E7" s="701"/>
      <c r="F7" s="701"/>
      <c r="G7" s="701"/>
      <c r="H7" s="702">
        <v>2657</v>
      </c>
      <c r="I7" s="1004">
        <f t="shared" ref="I7:I42" si="2">SUM(B7:H7)</f>
        <v>12499.51968503937</v>
      </c>
      <c r="J7" s="1021">
        <v>12500</v>
      </c>
      <c r="K7" s="703"/>
      <c r="L7" s="704"/>
      <c r="M7" s="704"/>
      <c r="N7" s="705"/>
      <c r="O7" s="724"/>
      <c r="P7" s="1048"/>
      <c r="Q7" s="1039"/>
      <c r="R7" s="697"/>
      <c r="S7" s="697"/>
    </row>
    <row r="8" spans="1:19" s="706" customFormat="1" hidden="1" x14ac:dyDescent="0.2">
      <c r="A8" s="707" t="s">
        <v>802</v>
      </c>
      <c r="B8" s="708"/>
      <c r="C8" s="701"/>
      <c r="D8" s="701"/>
      <c r="E8" s="701"/>
      <c r="F8" s="701"/>
      <c r="G8" s="701"/>
      <c r="H8" s="702"/>
      <c r="I8" s="1008">
        <f t="shared" si="2"/>
        <v>0</v>
      </c>
      <c r="J8" s="1022"/>
      <c r="K8" s="703"/>
      <c r="L8" s="704"/>
      <c r="M8" s="704"/>
      <c r="N8" s="705"/>
      <c r="O8" s="724"/>
      <c r="P8" s="1048"/>
      <c r="Q8" s="1039"/>
      <c r="R8" s="697"/>
      <c r="S8" s="697"/>
    </row>
    <row r="9" spans="1:19" s="706" customFormat="1" x14ac:dyDescent="0.2">
      <c r="A9" s="699" t="s">
        <v>854</v>
      </c>
      <c r="B9" s="700"/>
      <c r="C9" s="709">
        <v>110236</v>
      </c>
      <c r="D9" s="701"/>
      <c r="E9" s="701"/>
      <c r="F9" s="701"/>
      <c r="G9" s="701"/>
      <c r="H9" s="702">
        <v>29764</v>
      </c>
      <c r="I9" s="1004">
        <f t="shared" si="2"/>
        <v>140000</v>
      </c>
      <c r="J9" s="1021">
        <v>140000</v>
      </c>
      <c r="K9" s="703"/>
      <c r="L9" s="704"/>
      <c r="M9" s="704"/>
      <c r="N9" s="705"/>
      <c r="O9" s="724"/>
      <c r="P9" s="1048"/>
      <c r="Q9" s="1039"/>
      <c r="R9" s="697"/>
      <c r="S9" s="697"/>
    </row>
    <row r="10" spans="1:19" s="706" customFormat="1" hidden="1" x14ac:dyDescent="0.2">
      <c r="A10" s="707" t="s">
        <v>855</v>
      </c>
      <c r="B10" s="710"/>
      <c r="C10" s="711"/>
      <c r="D10" s="701"/>
      <c r="E10" s="701"/>
      <c r="F10" s="701"/>
      <c r="G10" s="701"/>
      <c r="H10" s="702">
        <f t="shared" ref="H10:H41" si="3">SUM(B10:E10)*0.27</f>
        <v>0</v>
      </c>
      <c r="I10" s="1008">
        <f t="shared" si="2"/>
        <v>0</v>
      </c>
      <c r="J10" s="1022"/>
      <c r="K10" s="703"/>
      <c r="L10" s="704"/>
      <c r="M10" s="704"/>
      <c r="N10" s="705"/>
      <c r="O10" s="724"/>
      <c r="P10" s="1048"/>
      <c r="Q10" s="1039"/>
      <c r="R10" s="697"/>
      <c r="S10" s="697"/>
    </row>
    <row r="11" spans="1:19" s="706" customFormat="1" x14ac:dyDescent="0.2">
      <c r="A11" s="699" t="s">
        <v>856</v>
      </c>
      <c r="B11" s="709"/>
      <c r="C11" s="709">
        <v>43307</v>
      </c>
      <c r="D11" s="701"/>
      <c r="E11" s="701"/>
      <c r="F11" s="701"/>
      <c r="G11" s="701"/>
      <c r="H11" s="702">
        <v>11693</v>
      </c>
      <c r="I11" s="1004">
        <f t="shared" si="2"/>
        <v>55000</v>
      </c>
      <c r="J11" s="1021">
        <v>55000</v>
      </c>
      <c r="K11" s="703"/>
      <c r="L11" s="704"/>
      <c r="M11" s="704"/>
      <c r="N11" s="705"/>
      <c r="O11" s="724"/>
      <c r="P11" s="1048"/>
      <c r="Q11" s="1039"/>
      <c r="R11" s="697"/>
      <c r="S11" s="697"/>
    </row>
    <row r="12" spans="1:19" s="706" customFormat="1" ht="25.5" x14ac:dyDescent="0.2">
      <c r="A12" s="699" t="s">
        <v>857</v>
      </c>
      <c r="B12" s="712"/>
      <c r="C12" s="709">
        <v>23622</v>
      </c>
      <c r="D12" s="701"/>
      <c r="E12" s="701"/>
      <c r="F12" s="701"/>
      <c r="G12" s="701"/>
      <c r="H12" s="702">
        <v>6378</v>
      </c>
      <c r="I12" s="1004">
        <f t="shared" si="2"/>
        <v>30000</v>
      </c>
      <c r="J12" s="1021">
        <v>30000</v>
      </c>
      <c r="K12" s="703"/>
      <c r="L12" s="704"/>
      <c r="M12" s="704"/>
      <c r="N12" s="705"/>
      <c r="O12" s="724"/>
      <c r="P12" s="1048"/>
      <c r="Q12" s="1039"/>
      <c r="R12" s="697"/>
      <c r="S12" s="697"/>
    </row>
    <row r="13" spans="1:19" s="706" customFormat="1" ht="25.5" x14ac:dyDescent="0.2">
      <c r="A13" s="699" t="s">
        <v>858</v>
      </c>
      <c r="B13" s="700"/>
      <c r="C13" s="709">
        <v>3200</v>
      </c>
      <c r="D13" s="701"/>
      <c r="E13" s="701"/>
      <c r="F13" s="701"/>
      <c r="G13" s="701"/>
      <c r="H13" s="702">
        <v>864</v>
      </c>
      <c r="I13" s="1004">
        <f t="shared" si="2"/>
        <v>4064</v>
      </c>
      <c r="J13" s="1021">
        <v>4064</v>
      </c>
      <c r="K13" s="703"/>
      <c r="L13" s="704"/>
      <c r="M13" s="704"/>
      <c r="N13" s="705"/>
      <c r="O13" s="724"/>
      <c r="P13" s="1048"/>
      <c r="Q13" s="1039"/>
      <c r="R13" s="697"/>
      <c r="S13" s="697"/>
    </row>
    <row r="14" spans="1:19" s="706" customFormat="1" ht="25.5" x14ac:dyDescent="0.2">
      <c r="A14" s="699" t="s">
        <v>859</v>
      </c>
      <c r="B14" s="713"/>
      <c r="C14" s="709">
        <v>118110</v>
      </c>
      <c r="D14" s="701"/>
      <c r="E14" s="701"/>
      <c r="F14" s="701"/>
      <c r="G14" s="701"/>
      <c r="H14" s="702">
        <v>31890</v>
      </c>
      <c r="I14" s="1004">
        <f t="shared" si="2"/>
        <v>150000</v>
      </c>
      <c r="J14" s="1021">
        <v>150000</v>
      </c>
      <c r="K14" s="703"/>
      <c r="L14" s="704"/>
      <c r="M14" s="704"/>
      <c r="N14" s="705"/>
      <c r="O14" s="724"/>
      <c r="P14" s="1048"/>
      <c r="Q14" s="1039"/>
      <c r="R14" s="697"/>
      <c r="S14" s="697"/>
    </row>
    <row r="15" spans="1:19" s="706" customFormat="1" x14ac:dyDescent="0.2">
      <c r="A15" s="699" t="s">
        <v>860</v>
      </c>
      <c r="B15" s="713"/>
      <c r="C15" s="709">
        <v>19685</v>
      </c>
      <c r="D15" s="701"/>
      <c r="E15" s="701"/>
      <c r="F15" s="701"/>
      <c r="G15" s="701"/>
      <c r="H15" s="702">
        <v>5315</v>
      </c>
      <c r="I15" s="1004">
        <f t="shared" si="2"/>
        <v>25000</v>
      </c>
      <c r="J15" s="1021">
        <v>25000</v>
      </c>
      <c r="K15" s="703"/>
      <c r="L15" s="704"/>
      <c r="M15" s="704"/>
      <c r="N15" s="705"/>
      <c r="O15" s="724"/>
      <c r="P15" s="1048"/>
      <c r="Q15" s="1039"/>
      <c r="R15" s="697"/>
      <c r="S15" s="697"/>
    </row>
    <row r="16" spans="1:19" s="706" customFormat="1" x14ac:dyDescent="0.2">
      <c r="A16" s="699" t="s">
        <v>861</v>
      </c>
      <c r="B16" s="700"/>
      <c r="C16" s="711">
        <v>2362</v>
      </c>
      <c r="D16" s="701"/>
      <c r="E16" s="701"/>
      <c r="F16" s="701"/>
      <c r="G16" s="701"/>
      <c r="H16" s="702">
        <v>638</v>
      </c>
      <c r="I16" s="1004">
        <f t="shared" si="2"/>
        <v>3000</v>
      </c>
      <c r="J16" s="1021">
        <v>3000</v>
      </c>
      <c r="K16" s="703"/>
      <c r="L16" s="704"/>
      <c r="M16" s="704"/>
      <c r="N16" s="705"/>
      <c r="O16" s="724"/>
      <c r="P16" s="1048"/>
      <c r="Q16" s="1039"/>
      <c r="R16" s="697"/>
      <c r="S16" s="697"/>
    </row>
    <row r="17" spans="1:19" s="706" customFormat="1" x14ac:dyDescent="0.2">
      <c r="A17" s="699" t="s">
        <v>863</v>
      </c>
      <c r="B17" s="700"/>
      <c r="C17" s="711"/>
      <c r="D17" s="701">
        <v>787</v>
      </c>
      <c r="E17" s="701"/>
      <c r="F17" s="701"/>
      <c r="G17" s="701"/>
      <c r="H17" s="702">
        <v>213</v>
      </c>
      <c r="I17" s="1004">
        <f t="shared" si="2"/>
        <v>1000</v>
      </c>
      <c r="J17" s="1021">
        <v>1000</v>
      </c>
      <c r="K17" s="703"/>
      <c r="L17" s="704"/>
      <c r="M17" s="704"/>
      <c r="N17" s="705"/>
      <c r="O17" s="724"/>
      <c r="P17" s="1048"/>
      <c r="Q17" s="1039"/>
      <c r="R17" s="697"/>
      <c r="S17" s="697"/>
    </row>
    <row r="18" spans="1:19" s="706" customFormat="1" ht="25.5" x14ac:dyDescent="0.2">
      <c r="A18" s="699" t="s">
        <v>864</v>
      </c>
      <c r="B18" s="700"/>
      <c r="C18" s="711"/>
      <c r="D18" s="701">
        <v>11811</v>
      </c>
      <c r="E18" s="701"/>
      <c r="F18" s="701"/>
      <c r="G18" s="701"/>
      <c r="H18" s="702">
        <v>3189</v>
      </c>
      <c r="I18" s="1004">
        <f t="shared" si="2"/>
        <v>15000</v>
      </c>
      <c r="J18" s="1021">
        <v>15000</v>
      </c>
      <c r="K18" s="703"/>
      <c r="L18" s="704"/>
      <c r="M18" s="704"/>
      <c r="N18" s="705"/>
      <c r="O18" s="724"/>
      <c r="P18" s="1048"/>
      <c r="Q18" s="1039"/>
      <c r="R18" s="697"/>
      <c r="S18" s="697"/>
    </row>
    <row r="19" spans="1:19" s="706" customFormat="1" hidden="1" x14ac:dyDescent="0.2">
      <c r="A19" s="707" t="s">
        <v>803</v>
      </c>
      <c r="B19" s="700"/>
      <c r="C19" s="711"/>
      <c r="D19" s="701"/>
      <c r="E19" s="701"/>
      <c r="F19" s="701"/>
      <c r="G19" s="701"/>
      <c r="H19" s="702">
        <f t="shared" ref="H19" si="4">SUM(B19:E19)*0.27</f>
        <v>0</v>
      </c>
      <c r="I19" s="1008">
        <f t="shared" ref="I19" si="5">SUM(B19:H19)</f>
        <v>0</v>
      </c>
      <c r="J19" s="1022"/>
      <c r="K19" s="703"/>
      <c r="L19" s="704"/>
      <c r="M19" s="704"/>
      <c r="N19" s="705"/>
      <c r="O19" s="724"/>
      <c r="P19" s="1048"/>
      <c r="Q19" s="1039"/>
      <c r="R19" s="697"/>
      <c r="S19" s="697"/>
    </row>
    <row r="20" spans="1:19" s="706" customFormat="1" hidden="1" x14ac:dyDescent="0.2">
      <c r="A20" s="699"/>
      <c r="B20" s="700"/>
      <c r="C20" s="709"/>
      <c r="D20" s="701"/>
      <c r="E20" s="709"/>
      <c r="F20" s="701"/>
      <c r="G20" s="701"/>
      <c r="H20" s="702">
        <f t="shared" si="3"/>
        <v>0</v>
      </c>
      <c r="I20" s="1004">
        <f t="shared" si="2"/>
        <v>0</v>
      </c>
      <c r="J20" s="1021"/>
      <c r="K20" s="703"/>
      <c r="L20" s="704"/>
      <c r="M20" s="704"/>
      <c r="N20" s="705"/>
      <c r="O20" s="724"/>
      <c r="P20" s="1048"/>
      <c r="Q20" s="1039"/>
      <c r="R20" s="697"/>
      <c r="S20" s="697"/>
    </row>
    <row r="21" spans="1:19" s="706" customFormat="1" hidden="1" x14ac:dyDescent="0.2">
      <c r="A21" s="714"/>
      <c r="B21" s="700"/>
      <c r="C21" s="711"/>
      <c r="D21" s="701"/>
      <c r="E21" s="709"/>
      <c r="F21" s="701"/>
      <c r="G21" s="701"/>
      <c r="H21" s="702"/>
      <c r="I21" s="1008"/>
      <c r="J21" s="1022"/>
      <c r="K21" s="703"/>
      <c r="L21" s="704"/>
      <c r="M21" s="704"/>
      <c r="N21" s="705"/>
      <c r="O21" s="724"/>
      <c r="P21" s="1048"/>
      <c r="Q21" s="1039"/>
      <c r="R21" s="697"/>
      <c r="S21" s="697"/>
    </row>
    <row r="22" spans="1:19" s="706" customFormat="1" x14ac:dyDescent="0.2">
      <c r="A22" s="715" t="s">
        <v>865</v>
      </c>
      <c r="B22" s="700"/>
      <c r="C22" s="711"/>
      <c r="D22" s="701"/>
      <c r="E22" s="709">
        <v>11811</v>
      </c>
      <c r="F22" s="701"/>
      <c r="G22" s="701"/>
      <c r="H22" s="702">
        <v>3189</v>
      </c>
      <c r="I22" s="1004">
        <f t="shared" si="2"/>
        <v>15000</v>
      </c>
      <c r="J22" s="1021">
        <v>15000</v>
      </c>
      <c r="K22" s="703"/>
      <c r="L22" s="704"/>
      <c r="M22" s="704"/>
      <c r="N22" s="705"/>
      <c r="O22" s="724"/>
      <c r="P22" s="1048"/>
      <c r="Q22" s="1039"/>
      <c r="R22" s="697"/>
      <c r="S22" s="697"/>
    </row>
    <row r="23" spans="1:19" s="706" customFormat="1" x14ac:dyDescent="0.2">
      <c r="A23" s="699" t="s">
        <v>866</v>
      </c>
      <c r="B23" s="700"/>
      <c r="C23" s="711"/>
      <c r="D23" s="701"/>
      <c r="E23" s="711">
        <v>31496</v>
      </c>
      <c r="F23" s="701"/>
      <c r="G23" s="701"/>
      <c r="H23" s="702">
        <v>8504</v>
      </c>
      <c r="I23" s="1004">
        <f t="shared" si="2"/>
        <v>40000</v>
      </c>
      <c r="J23" s="1021">
        <v>40000</v>
      </c>
      <c r="K23" s="703"/>
      <c r="L23" s="704"/>
      <c r="M23" s="704"/>
      <c r="N23" s="705"/>
      <c r="O23" s="724"/>
      <c r="P23" s="1048"/>
      <c r="Q23" s="1039"/>
      <c r="R23" s="697"/>
      <c r="S23" s="697"/>
    </row>
    <row r="24" spans="1:19" s="706" customFormat="1" x14ac:dyDescent="0.2">
      <c r="A24" s="716" t="s">
        <v>1234</v>
      </c>
      <c r="B24" s="700"/>
      <c r="C24" s="711"/>
      <c r="D24" s="701"/>
      <c r="E24" s="711">
        <v>1197</v>
      </c>
      <c r="F24" s="701"/>
      <c r="G24" s="701"/>
      <c r="H24" s="702">
        <v>323</v>
      </c>
      <c r="I24" s="1004">
        <f t="shared" si="2"/>
        <v>1520</v>
      </c>
      <c r="J24" s="1021">
        <v>1520</v>
      </c>
      <c r="K24" s="703"/>
      <c r="L24" s="704"/>
      <c r="M24" s="704"/>
      <c r="N24" s="705"/>
      <c r="O24" s="724"/>
      <c r="P24" s="1048"/>
      <c r="Q24" s="1039"/>
      <c r="R24" s="697"/>
      <c r="S24" s="697"/>
    </row>
    <row r="25" spans="1:19" s="706" customFormat="1" ht="25.5" x14ac:dyDescent="0.2">
      <c r="A25" s="715" t="s">
        <v>1237</v>
      </c>
      <c r="B25" s="700"/>
      <c r="C25" s="711"/>
      <c r="D25" s="701"/>
      <c r="E25" s="711">
        <v>2362</v>
      </c>
      <c r="F25" s="701"/>
      <c r="G25" s="701"/>
      <c r="H25" s="702">
        <v>638</v>
      </c>
      <c r="I25" s="1004">
        <f t="shared" si="2"/>
        <v>3000</v>
      </c>
      <c r="J25" s="1021">
        <v>3000</v>
      </c>
      <c r="K25" s="703"/>
      <c r="L25" s="704"/>
      <c r="M25" s="704"/>
      <c r="N25" s="705"/>
      <c r="O25" s="724"/>
      <c r="P25" s="1048"/>
      <c r="Q25" s="1039"/>
      <c r="R25" s="697"/>
      <c r="S25" s="697"/>
    </row>
    <row r="26" spans="1:19" s="706" customFormat="1" x14ac:dyDescent="0.2">
      <c r="A26" s="717" t="s">
        <v>868</v>
      </c>
      <c r="B26" s="700"/>
      <c r="C26" s="711"/>
      <c r="D26" s="701"/>
      <c r="E26" s="711">
        <v>3937</v>
      </c>
      <c r="F26" s="701"/>
      <c r="G26" s="701"/>
      <c r="H26" s="702">
        <v>1063</v>
      </c>
      <c r="I26" s="1004">
        <f t="shared" si="2"/>
        <v>5000</v>
      </c>
      <c r="J26" s="1021">
        <v>5000</v>
      </c>
      <c r="K26" s="703"/>
      <c r="L26" s="704"/>
      <c r="M26" s="704"/>
      <c r="N26" s="705"/>
      <c r="O26" s="724"/>
      <c r="P26" s="1048"/>
      <c r="Q26" s="1039"/>
      <c r="R26" s="697"/>
      <c r="S26" s="697"/>
    </row>
    <row r="27" spans="1:19" s="706" customFormat="1" x14ac:dyDescent="0.2">
      <c r="A27" s="717" t="s">
        <v>1239</v>
      </c>
      <c r="B27" s="718"/>
      <c r="C27" s="709"/>
      <c r="D27" s="712"/>
      <c r="E27" s="709">
        <v>236</v>
      </c>
      <c r="F27" s="701"/>
      <c r="G27" s="701"/>
      <c r="H27" s="702">
        <v>64</v>
      </c>
      <c r="I27" s="1004">
        <f t="shared" si="2"/>
        <v>300</v>
      </c>
      <c r="J27" s="1021">
        <v>300</v>
      </c>
      <c r="K27" s="1018"/>
      <c r="L27" s="704"/>
      <c r="M27" s="704"/>
      <c r="N27" s="705">
        <f>+K27*0.27</f>
        <v>0</v>
      </c>
      <c r="O27" s="724">
        <f>+K27+N27</f>
        <v>0</v>
      </c>
      <c r="P27" s="1048"/>
      <c r="Q27" s="1039"/>
      <c r="R27" s="697"/>
      <c r="S27" s="697"/>
    </row>
    <row r="28" spans="1:19" s="706" customFormat="1" x14ac:dyDescent="0.2">
      <c r="A28" s="699" t="s">
        <v>1245</v>
      </c>
      <c r="B28" s="700"/>
      <c r="C28" s="709"/>
      <c r="D28" s="701"/>
      <c r="E28" s="709">
        <v>7874</v>
      </c>
      <c r="F28" s="701"/>
      <c r="G28" s="701"/>
      <c r="H28" s="702">
        <v>2126</v>
      </c>
      <c r="I28" s="1004">
        <f t="shared" si="2"/>
        <v>10000</v>
      </c>
      <c r="J28" s="1021">
        <v>10000</v>
      </c>
      <c r="K28" s="703"/>
      <c r="L28" s="704"/>
      <c r="M28" s="704"/>
      <c r="N28" s="705"/>
      <c r="O28" s="724"/>
      <c r="P28" s="1048"/>
      <c r="Q28" s="1039"/>
      <c r="R28" s="697"/>
      <c r="S28" s="697"/>
    </row>
    <row r="29" spans="1:19" s="706" customFormat="1" ht="25.5" x14ac:dyDescent="0.2">
      <c r="A29" s="699" t="s">
        <v>870</v>
      </c>
      <c r="B29" s="700"/>
      <c r="C29" s="709"/>
      <c r="D29" s="701"/>
      <c r="E29" s="719">
        <v>2362</v>
      </c>
      <c r="F29" s="701"/>
      <c r="G29" s="701"/>
      <c r="H29" s="702">
        <v>638</v>
      </c>
      <c r="I29" s="1004">
        <f t="shared" si="2"/>
        <v>3000</v>
      </c>
      <c r="J29" s="1021">
        <v>3000</v>
      </c>
      <c r="K29" s="703"/>
      <c r="L29" s="704"/>
      <c r="M29" s="704"/>
      <c r="N29" s="705"/>
      <c r="O29" s="724"/>
      <c r="P29" s="1048"/>
      <c r="Q29" s="1039"/>
      <c r="R29" s="697"/>
      <c r="S29" s="697"/>
    </row>
    <row r="30" spans="1:19" s="706" customFormat="1" ht="25.5" x14ac:dyDescent="0.2">
      <c r="A30" s="716" t="s">
        <v>871</v>
      </c>
      <c r="B30" s="700"/>
      <c r="C30" s="709"/>
      <c r="D30" s="701"/>
      <c r="E30" s="709">
        <v>748</v>
      </c>
      <c r="F30" s="701"/>
      <c r="G30" s="701"/>
      <c r="H30" s="702">
        <v>202</v>
      </c>
      <c r="I30" s="1004">
        <f t="shared" si="2"/>
        <v>950</v>
      </c>
      <c r="J30" s="1021">
        <v>950</v>
      </c>
      <c r="K30" s="703"/>
      <c r="L30" s="704"/>
      <c r="M30" s="704"/>
      <c r="N30" s="705"/>
      <c r="O30" s="724"/>
      <c r="P30" s="1048"/>
      <c r="Q30" s="1039"/>
      <c r="R30" s="697"/>
      <c r="S30" s="697"/>
    </row>
    <row r="31" spans="1:19" s="706" customFormat="1" ht="25.5" x14ac:dyDescent="0.2">
      <c r="A31" s="720" t="s">
        <v>1246</v>
      </c>
      <c r="B31" s="721"/>
      <c r="C31" s="722"/>
      <c r="D31" s="723"/>
      <c r="E31" s="719">
        <v>945</v>
      </c>
      <c r="F31" s="701"/>
      <c r="G31" s="701"/>
      <c r="H31" s="702">
        <v>255</v>
      </c>
      <c r="I31" s="1004">
        <f t="shared" si="2"/>
        <v>1200</v>
      </c>
      <c r="J31" s="1021">
        <v>1200</v>
      </c>
      <c r="K31" s="703"/>
      <c r="L31" s="704"/>
      <c r="M31" s="704"/>
      <c r="N31" s="705"/>
      <c r="O31" s="724"/>
      <c r="P31" s="1048"/>
      <c r="Q31" s="1039"/>
      <c r="R31" s="697"/>
      <c r="S31" s="697"/>
    </row>
    <row r="32" spans="1:19" s="706" customFormat="1" x14ac:dyDescent="0.2">
      <c r="A32" s="699" t="s">
        <v>1238</v>
      </c>
      <c r="B32" s="700"/>
      <c r="C32" s="709"/>
      <c r="D32" s="701"/>
      <c r="E32" s="709">
        <v>236</v>
      </c>
      <c r="F32" s="701"/>
      <c r="G32" s="701"/>
      <c r="H32" s="702">
        <v>64</v>
      </c>
      <c r="I32" s="1004">
        <f t="shared" si="2"/>
        <v>300</v>
      </c>
      <c r="J32" s="1021">
        <v>300</v>
      </c>
      <c r="K32" s="703"/>
      <c r="L32" s="704"/>
      <c r="M32" s="704"/>
      <c r="N32" s="705"/>
      <c r="O32" s="724"/>
      <c r="P32" s="1048"/>
      <c r="Q32" s="1039"/>
      <c r="R32" s="697"/>
      <c r="S32" s="697"/>
    </row>
    <row r="33" spans="1:19" s="706" customFormat="1" x14ac:dyDescent="0.2">
      <c r="A33" s="720" t="s">
        <v>873</v>
      </c>
      <c r="B33" s="700"/>
      <c r="C33" s="701"/>
      <c r="D33" s="701"/>
      <c r="E33" s="712">
        <v>10630</v>
      </c>
      <c r="F33" s="701"/>
      <c r="G33" s="701"/>
      <c r="H33" s="702">
        <v>2870</v>
      </c>
      <c r="I33" s="1004">
        <f t="shared" si="2"/>
        <v>13500</v>
      </c>
      <c r="J33" s="1021">
        <v>13500</v>
      </c>
      <c r="K33" s="703"/>
      <c r="L33" s="704"/>
      <c r="M33" s="704"/>
      <c r="N33" s="705"/>
      <c r="O33" s="724"/>
      <c r="P33" s="1048"/>
      <c r="Q33" s="1039"/>
      <c r="R33" s="697"/>
      <c r="S33" s="697"/>
    </row>
    <row r="34" spans="1:19" s="706" customFormat="1" x14ac:dyDescent="0.2">
      <c r="A34" s="699" t="s">
        <v>1247</v>
      </c>
      <c r="B34" s="700"/>
      <c r="C34" s="711"/>
      <c r="D34" s="701"/>
      <c r="E34" s="709">
        <v>3937</v>
      </c>
      <c r="F34" s="701"/>
      <c r="G34" s="701"/>
      <c r="H34" s="702">
        <v>1063</v>
      </c>
      <c r="I34" s="1004">
        <f t="shared" si="2"/>
        <v>5000</v>
      </c>
      <c r="J34" s="1021">
        <v>5000</v>
      </c>
      <c r="K34" s="703"/>
      <c r="L34" s="704"/>
      <c r="M34" s="704"/>
      <c r="N34" s="705"/>
      <c r="O34" s="724"/>
      <c r="P34" s="1048"/>
      <c r="Q34" s="1039"/>
      <c r="R34" s="697"/>
      <c r="S34" s="697"/>
    </row>
    <row r="35" spans="1:19" s="706" customFormat="1" x14ac:dyDescent="0.2">
      <c r="A35" s="699" t="s">
        <v>862</v>
      </c>
      <c r="B35" s="700"/>
      <c r="C35" s="711"/>
      <c r="D35" s="701"/>
      <c r="E35" s="709">
        <v>787</v>
      </c>
      <c r="F35" s="701"/>
      <c r="G35" s="701"/>
      <c r="H35" s="702">
        <v>213</v>
      </c>
      <c r="I35" s="1004">
        <f t="shared" si="2"/>
        <v>1000</v>
      </c>
      <c r="J35" s="1021">
        <v>1000</v>
      </c>
      <c r="K35" s="703"/>
      <c r="L35" s="704"/>
      <c r="M35" s="704"/>
      <c r="N35" s="705"/>
      <c r="O35" s="724"/>
      <c r="P35" s="1048"/>
      <c r="Q35" s="1039"/>
      <c r="R35" s="697"/>
      <c r="S35" s="697"/>
    </row>
    <row r="36" spans="1:19" s="706" customFormat="1" hidden="1" x14ac:dyDescent="0.2">
      <c r="A36" s="699" t="s">
        <v>863</v>
      </c>
      <c r="B36" s="700"/>
      <c r="C36" s="711"/>
      <c r="D36" s="701"/>
      <c r="E36" s="709"/>
      <c r="F36" s="701"/>
      <c r="G36" s="701"/>
      <c r="H36" s="702">
        <f t="shared" si="3"/>
        <v>0</v>
      </c>
      <c r="I36" s="1004">
        <f t="shared" si="2"/>
        <v>0</v>
      </c>
      <c r="J36" s="1021"/>
      <c r="K36" s="703"/>
      <c r="L36" s="704"/>
      <c r="M36" s="704"/>
      <c r="N36" s="705"/>
      <c r="O36" s="724"/>
      <c r="P36" s="1048"/>
      <c r="Q36" s="1039"/>
      <c r="R36" s="697"/>
      <c r="S36" s="697"/>
    </row>
    <row r="37" spans="1:19" s="706" customFormat="1" x14ac:dyDescent="0.2">
      <c r="A37" s="699" t="s">
        <v>874</v>
      </c>
      <c r="B37" s="700"/>
      <c r="C37" s="702">
        <v>39370</v>
      </c>
      <c r="D37" s="701"/>
      <c r="E37" s="702"/>
      <c r="F37" s="701"/>
      <c r="G37" s="701"/>
      <c r="H37" s="702">
        <v>10630</v>
      </c>
      <c r="I37" s="1004">
        <f t="shared" ref="I37" si="6">SUM(B37:H37)</f>
        <v>50000</v>
      </c>
      <c r="J37" s="1021">
        <v>50000</v>
      </c>
      <c r="K37" s="703"/>
      <c r="L37" s="704"/>
      <c r="M37" s="704"/>
      <c r="N37" s="705"/>
      <c r="O37" s="724"/>
      <c r="P37" s="1048"/>
      <c r="Q37" s="1039"/>
      <c r="R37" s="697"/>
      <c r="S37" s="697"/>
    </row>
    <row r="38" spans="1:19" s="706" customFormat="1" ht="25.5" x14ac:dyDescent="0.2">
      <c r="A38" s="699" t="s">
        <v>875</v>
      </c>
      <c r="B38" s="700"/>
      <c r="C38" s="719">
        <v>19685</v>
      </c>
      <c r="D38" s="701"/>
      <c r="E38" s="719"/>
      <c r="F38" s="701"/>
      <c r="G38" s="701"/>
      <c r="H38" s="702">
        <v>5315</v>
      </c>
      <c r="I38" s="1004">
        <f t="shared" si="2"/>
        <v>25000</v>
      </c>
      <c r="J38" s="1021">
        <v>25000</v>
      </c>
      <c r="K38" s="703"/>
      <c r="L38" s="704"/>
      <c r="M38" s="704"/>
      <c r="N38" s="705"/>
      <c r="O38" s="724"/>
      <c r="P38" s="1048"/>
      <c r="Q38" s="1039"/>
      <c r="R38" s="697"/>
      <c r="S38" s="697"/>
    </row>
    <row r="39" spans="1:19" s="706" customFormat="1" x14ac:dyDescent="0.2">
      <c r="A39" s="699" t="s">
        <v>876</v>
      </c>
      <c r="B39" s="700"/>
      <c r="C39" s="702"/>
      <c r="D39" s="701"/>
      <c r="E39" s="719">
        <v>59055</v>
      </c>
      <c r="F39" s="701"/>
      <c r="G39" s="701"/>
      <c r="H39" s="702">
        <v>15945</v>
      </c>
      <c r="I39" s="1004">
        <f t="shared" si="2"/>
        <v>75000</v>
      </c>
      <c r="J39" s="1021">
        <v>75000</v>
      </c>
      <c r="K39" s="703"/>
      <c r="L39" s="704"/>
      <c r="M39" s="704"/>
      <c r="N39" s="705"/>
      <c r="O39" s="724"/>
      <c r="P39" s="1048"/>
      <c r="Q39" s="1039"/>
      <c r="R39" s="697"/>
      <c r="S39" s="697"/>
    </row>
    <row r="40" spans="1:19" s="706" customFormat="1" ht="30" x14ac:dyDescent="0.2">
      <c r="A40" s="699" t="s">
        <v>877</v>
      </c>
      <c r="B40" s="700"/>
      <c r="C40" s="702"/>
      <c r="D40" s="701"/>
      <c r="E40" s="719">
        <v>11811</v>
      </c>
      <c r="F40" s="701"/>
      <c r="G40" s="701"/>
      <c r="H40" s="702">
        <v>3189</v>
      </c>
      <c r="I40" s="1004">
        <f t="shared" si="2"/>
        <v>15000</v>
      </c>
      <c r="J40" s="1021">
        <v>15000</v>
      </c>
      <c r="K40" s="703"/>
      <c r="L40" s="704"/>
      <c r="M40" s="704"/>
      <c r="N40" s="705"/>
      <c r="O40" s="724"/>
      <c r="P40" s="1048"/>
      <c r="Q40" s="1039"/>
      <c r="R40" s="697"/>
      <c r="S40" s="697"/>
    </row>
    <row r="41" spans="1:19" s="706" customFormat="1" ht="25.5" hidden="1" x14ac:dyDescent="0.2">
      <c r="A41" s="699" t="s">
        <v>792</v>
      </c>
      <c r="B41" s="700"/>
      <c r="C41" s="702"/>
      <c r="D41" s="701"/>
      <c r="E41" s="719"/>
      <c r="F41" s="701"/>
      <c r="G41" s="701"/>
      <c r="H41" s="702">
        <f t="shared" si="3"/>
        <v>0</v>
      </c>
      <c r="I41" s="1004">
        <f t="shared" si="2"/>
        <v>0</v>
      </c>
      <c r="J41" s="1021"/>
      <c r="K41" s="703"/>
      <c r="L41" s="704"/>
      <c r="M41" s="704"/>
      <c r="N41" s="705"/>
      <c r="O41" s="724"/>
      <c r="P41" s="1048"/>
      <c r="Q41" s="1039"/>
      <c r="R41" s="697"/>
      <c r="S41" s="697"/>
    </row>
    <row r="42" spans="1:19" s="706" customFormat="1" x14ac:dyDescent="0.2">
      <c r="A42" s="699" t="s">
        <v>1240</v>
      </c>
      <c r="B42" s="700"/>
      <c r="C42" s="702"/>
      <c r="D42" s="701"/>
      <c r="E42" s="719">
        <v>551</v>
      </c>
      <c r="F42" s="701"/>
      <c r="G42" s="701"/>
      <c r="H42" s="702">
        <v>149</v>
      </c>
      <c r="I42" s="1004">
        <f t="shared" si="2"/>
        <v>700</v>
      </c>
      <c r="J42" s="1021">
        <v>700</v>
      </c>
      <c r="K42" s="703"/>
      <c r="L42" s="704"/>
      <c r="M42" s="704"/>
      <c r="N42" s="705"/>
      <c r="O42" s="724"/>
      <c r="P42" s="1048"/>
      <c r="Q42" s="1039"/>
      <c r="R42" s="697"/>
      <c r="S42" s="697"/>
    </row>
    <row r="43" spans="1:19" s="706" customFormat="1" hidden="1" x14ac:dyDescent="0.2">
      <c r="A43" s="699" t="s">
        <v>801</v>
      </c>
      <c r="B43" s="700"/>
      <c r="C43" s="702"/>
      <c r="D43" s="701"/>
      <c r="E43" s="702"/>
      <c r="F43" s="701"/>
      <c r="G43" s="701"/>
      <c r="H43" s="702">
        <f t="shared" ref="H43" si="7">SUM(B43:E43)*0.27</f>
        <v>0</v>
      </c>
      <c r="I43" s="1004">
        <f t="shared" ref="I43" si="8">SUM(B43:H43)</f>
        <v>0</v>
      </c>
      <c r="J43" s="1021"/>
      <c r="K43" s="703"/>
      <c r="L43" s="704"/>
      <c r="M43" s="704"/>
      <c r="N43" s="705"/>
      <c r="O43" s="724"/>
      <c r="P43" s="1048"/>
      <c r="Q43" s="1039"/>
      <c r="R43" s="697"/>
      <c r="S43" s="697"/>
    </row>
    <row r="44" spans="1:19" s="706" customFormat="1" ht="15" x14ac:dyDescent="0.25">
      <c r="A44" s="989" t="s">
        <v>1502</v>
      </c>
      <c r="B44" s="700"/>
      <c r="C44" s="702"/>
      <c r="D44" s="701"/>
      <c r="E44" s="702"/>
      <c r="F44" s="701"/>
      <c r="G44" s="701"/>
      <c r="H44" s="702"/>
      <c r="I44" s="1004"/>
      <c r="J44" s="1021"/>
      <c r="K44" s="736">
        <v>173228</v>
      </c>
      <c r="L44" s="719"/>
      <c r="M44" s="719"/>
      <c r="N44" s="719">
        <v>46772</v>
      </c>
      <c r="O44" s="1004">
        <f>SUM(K44:N44)</f>
        <v>220000</v>
      </c>
      <c r="P44" s="1021">
        <v>220000</v>
      </c>
      <c r="Q44" s="1039"/>
      <c r="R44" s="697"/>
      <c r="S44" s="697"/>
    </row>
    <row r="45" spans="1:19" s="706" customFormat="1" ht="25.5" x14ac:dyDescent="0.2">
      <c r="A45" s="699" t="s">
        <v>878</v>
      </c>
      <c r="B45" s="700"/>
      <c r="C45" s="702"/>
      <c r="D45" s="701"/>
      <c r="E45" s="702"/>
      <c r="F45" s="701"/>
      <c r="G45" s="701"/>
      <c r="H45" s="702"/>
      <c r="I45" s="1004"/>
      <c r="J45" s="1021"/>
      <c r="K45" s="736">
        <v>9449</v>
      </c>
      <c r="L45" s="719"/>
      <c r="M45" s="719"/>
      <c r="N45" s="719">
        <v>2551</v>
      </c>
      <c r="O45" s="1004">
        <f>SUM(K45:N45)</f>
        <v>12000</v>
      </c>
      <c r="P45" s="1021">
        <v>12000</v>
      </c>
      <c r="Q45" s="1039"/>
      <c r="R45" s="697"/>
      <c r="S45" s="697"/>
    </row>
    <row r="46" spans="1:19" s="706" customFormat="1" x14ac:dyDescent="0.2">
      <c r="A46" s="699" t="s">
        <v>879</v>
      </c>
      <c r="B46" s="725"/>
      <c r="C46" s="702"/>
      <c r="D46" s="701"/>
      <c r="E46" s="702"/>
      <c r="F46" s="701"/>
      <c r="G46" s="701"/>
      <c r="H46" s="702">
        <f>SUM(B46:E46)*0.27</f>
        <v>0</v>
      </c>
      <c r="I46" s="1004">
        <f>SUM(B46:H46)</f>
        <v>0</v>
      </c>
      <c r="J46" s="1021"/>
      <c r="K46" s="736">
        <v>3937</v>
      </c>
      <c r="L46" s="719"/>
      <c r="M46" s="719"/>
      <c r="N46" s="719">
        <v>1063</v>
      </c>
      <c r="O46" s="1004">
        <f>SUM(K46:N46)</f>
        <v>5000</v>
      </c>
      <c r="P46" s="1021">
        <v>5000</v>
      </c>
      <c r="Q46" s="1039"/>
      <c r="R46" s="697"/>
      <c r="S46" s="697"/>
    </row>
    <row r="47" spans="1:19" s="706" customFormat="1" x14ac:dyDescent="0.2">
      <c r="A47" s="699" t="s">
        <v>880</v>
      </c>
      <c r="B47" s="725"/>
      <c r="C47" s="702"/>
      <c r="D47" s="701"/>
      <c r="E47" s="702"/>
      <c r="F47" s="701"/>
      <c r="G47" s="701"/>
      <c r="H47" s="702"/>
      <c r="I47" s="1004"/>
      <c r="J47" s="1021"/>
      <c r="K47" s="736">
        <v>9449</v>
      </c>
      <c r="L47" s="719"/>
      <c r="M47" s="719"/>
      <c r="N47" s="719">
        <v>2551</v>
      </c>
      <c r="O47" s="1004">
        <f>SUM(K47:N47)</f>
        <v>12000</v>
      </c>
      <c r="P47" s="1021">
        <v>12000</v>
      </c>
      <c r="Q47" s="1039"/>
      <c r="R47" s="697"/>
      <c r="S47" s="697"/>
    </row>
    <row r="48" spans="1:19" s="706" customFormat="1" ht="25.5" x14ac:dyDescent="0.2">
      <c r="A48" s="699" t="s">
        <v>881</v>
      </c>
      <c r="B48" s="700"/>
      <c r="C48" s="702"/>
      <c r="D48" s="701"/>
      <c r="E48" s="702"/>
      <c r="F48" s="701"/>
      <c r="G48" s="701"/>
      <c r="H48" s="702"/>
      <c r="I48" s="1004"/>
      <c r="J48" s="1021"/>
      <c r="K48" s="736">
        <v>7874</v>
      </c>
      <c r="L48" s="719"/>
      <c r="M48" s="719"/>
      <c r="N48" s="719">
        <v>2126</v>
      </c>
      <c r="O48" s="1004">
        <f>SUM(K48:N48)</f>
        <v>10000</v>
      </c>
      <c r="P48" s="1021">
        <v>10000</v>
      </c>
      <c r="Q48" s="1039"/>
      <c r="R48" s="697"/>
      <c r="S48" s="697"/>
    </row>
    <row r="49" spans="1:19" s="706" customFormat="1" ht="38.25" x14ac:dyDescent="0.2">
      <c r="A49" s="699" t="s">
        <v>882</v>
      </c>
      <c r="B49" s="700"/>
      <c r="C49" s="702"/>
      <c r="D49" s="701"/>
      <c r="E49" s="702"/>
      <c r="F49" s="701"/>
      <c r="G49" s="701"/>
      <c r="H49" s="702"/>
      <c r="I49" s="1004"/>
      <c r="J49" s="1021"/>
      <c r="K49" s="736">
        <v>7874</v>
      </c>
      <c r="L49" s="719"/>
      <c r="M49" s="719"/>
      <c r="N49" s="719">
        <v>2126</v>
      </c>
      <c r="O49" s="1004">
        <f>+K49+N49</f>
        <v>10000</v>
      </c>
      <c r="P49" s="1021">
        <v>10000</v>
      </c>
      <c r="Q49" s="1039"/>
      <c r="R49" s="697"/>
      <c r="S49" s="697"/>
    </row>
    <row r="50" spans="1:19" s="706" customFormat="1" ht="45" x14ac:dyDescent="0.2">
      <c r="A50" s="699" t="s">
        <v>883</v>
      </c>
      <c r="B50" s="700"/>
      <c r="C50" s="702"/>
      <c r="D50" s="701"/>
      <c r="E50" s="702"/>
      <c r="F50" s="701"/>
      <c r="G50" s="701"/>
      <c r="H50" s="702"/>
      <c r="I50" s="1004"/>
      <c r="J50" s="1021"/>
      <c r="K50" s="736">
        <v>11811</v>
      </c>
      <c r="L50" s="719"/>
      <c r="M50" s="719"/>
      <c r="N50" s="719">
        <v>3189</v>
      </c>
      <c r="O50" s="1004">
        <f>SUM(K50:N50)</f>
        <v>15000</v>
      </c>
      <c r="P50" s="1021">
        <v>15000</v>
      </c>
      <c r="Q50" s="1039"/>
      <c r="R50" s="697"/>
      <c r="S50" s="697"/>
    </row>
    <row r="51" spans="1:19" s="706" customFormat="1" x14ac:dyDescent="0.2">
      <c r="A51" s="699" t="s">
        <v>884</v>
      </c>
      <c r="B51" s="700"/>
      <c r="C51" s="702"/>
      <c r="D51" s="701"/>
      <c r="E51" s="702"/>
      <c r="F51" s="701"/>
      <c r="G51" s="701"/>
      <c r="H51" s="702"/>
      <c r="I51" s="1004"/>
      <c r="J51" s="1021"/>
      <c r="K51" s="736">
        <v>11811</v>
      </c>
      <c r="L51" s="719"/>
      <c r="M51" s="719"/>
      <c r="N51" s="719">
        <v>3189</v>
      </c>
      <c r="O51" s="1004">
        <f>SUM(K51:N51)</f>
        <v>15000</v>
      </c>
      <c r="P51" s="1021">
        <v>15000</v>
      </c>
      <c r="Q51" s="1039"/>
      <c r="R51" s="697"/>
      <c r="S51" s="697"/>
    </row>
    <row r="52" spans="1:19" s="706" customFormat="1" x14ac:dyDescent="0.2">
      <c r="A52" s="699" t="s">
        <v>885</v>
      </c>
      <c r="B52" s="700"/>
      <c r="C52" s="702"/>
      <c r="D52" s="701"/>
      <c r="E52" s="702"/>
      <c r="F52" s="701"/>
      <c r="G52" s="701"/>
      <c r="H52" s="702"/>
      <c r="I52" s="1004"/>
      <c r="J52" s="1021"/>
      <c r="K52" s="736">
        <v>19685</v>
      </c>
      <c r="L52" s="719"/>
      <c r="M52" s="719"/>
      <c r="N52" s="719">
        <v>5315</v>
      </c>
      <c r="O52" s="1004">
        <f>SUM(K52:N52)</f>
        <v>25000</v>
      </c>
      <c r="P52" s="1021">
        <v>25000</v>
      </c>
      <c r="Q52" s="1039"/>
      <c r="R52" s="697"/>
      <c r="S52" s="697"/>
    </row>
    <row r="53" spans="1:19" s="706" customFormat="1" x14ac:dyDescent="0.2">
      <c r="A53" s="699" t="s">
        <v>886</v>
      </c>
      <c r="B53" s="700"/>
      <c r="C53" s="702"/>
      <c r="D53" s="701"/>
      <c r="E53" s="702"/>
      <c r="F53" s="701"/>
      <c r="G53" s="701"/>
      <c r="H53" s="702"/>
      <c r="I53" s="1004"/>
      <c r="J53" s="1021"/>
      <c r="K53" s="736">
        <v>7874</v>
      </c>
      <c r="L53" s="719"/>
      <c r="M53" s="719"/>
      <c r="N53" s="719">
        <v>2126</v>
      </c>
      <c r="O53" s="1004">
        <f>SUM(K53:N53)</f>
        <v>10000</v>
      </c>
      <c r="P53" s="1021">
        <v>10000</v>
      </c>
      <c r="Q53" s="1039"/>
      <c r="R53" s="697"/>
      <c r="S53" s="697"/>
    </row>
    <row r="54" spans="1:19" s="706" customFormat="1" ht="25.5" x14ac:dyDescent="0.2">
      <c r="A54" s="699" t="s">
        <v>1236</v>
      </c>
      <c r="B54" s="700"/>
      <c r="C54" s="702"/>
      <c r="D54" s="701"/>
      <c r="E54" s="702"/>
      <c r="F54" s="701"/>
      <c r="G54" s="701"/>
      <c r="H54" s="702"/>
      <c r="I54" s="1004"/>
      <c r="J54" s="1021"/>
      <c r="K54" s="736">
        <v>11811</v>
      </c>
      <c r="L54" s="719"/>
      <c r="M54" s="719"/>
      <c r="N54" s="719">
        <v>3189</v>
      </c>
      <c r="O54" s="1004">
        <f>+K54+N54</f>
        <v>15000</v>
      </c>
      <c r="P54" s="1021">
        <v>15000</v>
      </c>
      <c r="Q54" s="1039"/>
      <c r="R54" s="697"/>
      <c r="S54" s="697"/>
    </row>
    <row r="55" spans="1:19" s="730" customFormat="1" ht="25.5" x14ac:dyDescent="0.2">
      <c r="A55" s="699" t="s">
        <v>887</v>
      </c>
      <c r="B55" s="726"/>
      <c r="C55" s="728"/>
      <c r="D55" s="727"/>
      <c r="E55" s="728"/>
      <c r="F55" s="727"/>
      <c r="G55" s="727"/>
      <c r="H55" s="728"/>
      <c r="I55" s="1005"/>
      <c r="J55" s="1023"/>
      <c r="K55" s="736">
        <v>19685</v>
      </c>
      <c r="L55" s="719"/>
      <c r="M55" s="719"/>
      <c r="N55" s="719">
        <v>5315</v>
      </c>
      <c r="O55" s="1004">
        <f t="shared" ref="O55:O65" si="9">SUM(K55:N55)</f>
        <v>25000</v>
      </c>
      <c r="P55" s="1021">
        <v>25000</v>
      </c>
      <c r="Q55" s="1040"/>
      <c r="R55" s="729"/>
      <c r="S55" s="729"/>
    </row>
    <row r="56" spans="1:19" s="730" customFormat="1" hidden="1" x14ac:dyDescent="0.2">
      <c r="A56" s="1001"/>
      <c r="B56" s="726"/>
      <c r="C56" s="728"/>
      <c r="D56" s="727"/>
      <c r="E56" s="728"/>
      <c r="F56" s="727"/>
      <c r="G56" s="727"/>
      <c r="H56" s="728"/>
      <c r="I56" s="1005"/>
      <c r="J56" s="1023"/>
      <c r="K56" s="736"/>
      <c r="L56" s="1002"/>
      <c r="M56" s="1002"/>
      <c r="N56" s="1002"/>
      <c r="O56" s="1005"/>
      <c r="P56" s="1021"/>
      <c r="Q56" s="1040"/>
      <c r="R56" s="729"/>
      <c r="S56" s="729"/>
    </row>
    <row r="57" spans="1:19" s="706" customFormat="1" x14ac:dyDescent="0.2">
      <c r="A57" s="699" t="s">
        <v>1241</v>
      </c>
      <c r="B57" s="700"/>
      <c r="C57" s="711"/>
      <c r="D57" s="701"/>
      <c r="E57" s="711"/>
      <c r="F57" s="701"/>
      <c r="G57" s="701"/>
      <c r="H57" s="702"/>
      <c r="I57" s="1004"/>
      <c r="J57" s="1021"/>
      <c r="K57" s="1018">
        <v>3150</v>
      </c>
      <c r="L57" s="709"/>
      <c r="M57" s="709"/>
      <c r="N57" s="709">
        <v>851</v>
      </c>
      <c r="O57" s="1004">
        <f t="shared" si="9"/>
        <v>4001</v>
      </c>
      <c r="P57" s="1021">
        <v>4001</v>
      </c>
      <c r="Q57" s="1039"/>
      <c r="R57" s="697"/>
      <c r="S57" s="697"/>
    </row>
    <row r="58" spans="1:19" s="706" customFormat="1" x14ac:dyDescent="0.2">
      <c r="A58" s="699" t="s">
        <v>888</v>
      </c>
      <c r="B58" s="710"/>
      <c r="C58" s="702"/>
      <c r="D58" s="701"/>
      <c r="E58" s="702"/>
      <c r="F58" s="701"/>
      <c r="G58" s="701"/>
      <c r="H58" s="702"/>
      <c r="I58" s="1004"/>
      <c r="J58" s="1021"/>
      <c r="K58" s="736">
        <v>6299</v>
      </c>
      <c r="L58" s="719"/>
      <c r="M58" s="719"/>
      <c r="N58" s="719">
        <v>1701</v>
      </c>
      <c r="O58" s="1004">
        <f t="shared" ref="O58" si="10">SUM(K58:N58)</f>
        <v>8000</v>
      </c>
      <c r="P58" s="1021">
        <v>8000</v>
      </c>
      <c r="Q58" s="1039"/>
      <c r="R58" s="697"/>
      <c r="S58" s="697"/>
    </row>
    <row r="59" spans="1:19" s="706" customFormat="1" x14ac:dyDescent="0.2">
      <c r="A59" s="699" t="s">
        <v>889</v>
      </c>
      <c r="B59" s="710"/>
      <c r="C59" s="702"/>
      <c r="D59" s="701"/>
      <c r="E59" s="702"/>
      <c r="F59" s="701"/>
      <c r="G59" s="701"/>
      <c r="H59" s="702"/>
      <c r="I59" s="1004"/>
      <c r="J59" s="1021"/>
      <c r="K59" s="736">
        <v>15748</v>
      </c>
      <c r="L59" s="719"/>
      <c r="M59" s="719"/>
      <c r="N59" s="719">
        <v>4252</v>
      </c>
      <c r="O59" s="1004">
        <f t="shared" ref="O59" si="11">SUM(K59:N59)</f>
        <v>20000</v>
      </c>
      <c r="P59" s="1021">
        <v>20000</v>
      </c>
      <c r="Q59" s="1039"/>
      <c r="R59" s="697"/>
      <c r="S59" s="697"/>
    </row>
    <row r="60" spans="1:19" s="706" customFormat="1" ht="25.5" x14ac:dyDescent="0.2">
      <c r="A60" s="699" t="s">
        <v>890</v>
      </c>
      <c r="B60" s="701"/>
      <c r="C60" s="702"/>
      <c r="D60" s="701"/>
      <c r="E60" s="702"/>
      <c r="F60" s="701"/>
      <c r="G60" s="701"/>
      <c r="H60" s="702"/>
      <c r="I60" s="1004"/>
      <c r="J60" s="1021"/>
      <c r="K60" s="736">
        <v>15748</v>
      </c>
      <c r="L60" s="719"/>
      <c r="M60" s="719"/>
      <c r="N60" s="719">
        <v>4252</v>
      </c>
      <c r="O60" s="1004">
        <f t="shared" si="9"/>
        <v>20000</v>
      </c>
      <c r="P60" s="1021">
        <v>20000</v>
      </c>
      <c r="Q60" s="1039"/>
      <c r="R60" s="697"/>
      <c r="S60" s="697"/>
    </row>
    <row r="61" spans="1:19" s="706" customFormat="1" ht="25.5" x14ac:dyDescent="0.2">
      <c r="A61" s="699" t="s">
        <v>891</v>
      </c>
      <c r="B61" s="700"/>
      <c r="C61" s="711"/>
      <c r="D61" s="701"/>
      <c r="E61" s="711"/>
      <c r="F61" s="701"/>
      <c r="G61" s="701"/>
      <c r="H61" s="702"/>
      <c r="I61" s="1004"/>
      <c r="J61" s="1021"/>
      <c r="K61" s="1018">
        <v>3465</v>
      </c>
      <c r="L61" s="709"/>
      <c r="M61" s="709"/>
      <c r="N61" s="709">
        <v>936</v>
      </c>
      <c r="O61" s="1004">
        <f t="shared" si="9"/>
        <v>4401</v>
      </c>
      <c r="P61" s="1021">
        <v>4401</v>
      </c>
      <c r="Q61" s="1039"/>
      <c r="R61" s="697"/>
      <c r="S61" s="697"/>
    </row>
    <row r="62" spans="1:19" s="706" customFormat="1" x14ac:dyDescent="0.2">
      <c r="A62" s="699" t="s">
        <v>892</v>
      </c>
      <c r="B62" s="700"/>
      <c r="C62" s="711"/>
      <c r="D62" s="701"/>
      <c r="E62" s="711"/>
      <c r="F62" s="701"/>
      <c r="G62" s="701"/>
      <c r="H62" s="702"/>
      <c r="I62" s="1004"/>
      <c r="J62" s="1021"/>
      <c r="K62" s="1018">
        <v>98425</v>
      </c>
      <c r="L62" s="709"/>
      <c r="M62" s="709"/>
      <c r="N62" s="709">
        <v>26575</v>
      </c>
      <c r="O62" s="1004">
        <f t="shared" si="9"/>
        <v>125000</v>
      </c>
      <c r="P62" s="1021">
        <v>125000</v>
      </c>
      <c r="Q62" s="1039"/>
      <c r="R62" s="697"/>
      <c r="S62" s="697"/>
    </row>
    <row r="63" spans="1:19" s="706" customFormat="1" x14ac:dyDescent="0.2">
      <c r="A63" s="699" t="s">
        <v>893</v>
      </c>
      <c r="B63" s="700"/>
      <c r="C63" s="711"/>
      <c r="D63" s="701"/>
      <c r="E63" s="711"/>
      <c r="F63" s="701"/>
      <c r="G63" s="701"/>
      <c r="H63" s="702"/>
      <c r="I63" s="1004"/>
      <c r="J63" s="1021"/>
      <c r="K63" s="1018">
        <v>7874</v>
      </c>
      <c r="L63" s="709"/>
      <c r="M63" s="709"/>
      <c r="N63" s="709">
        <v>2126</v>
      </c>
      <c r="O63" s="1004">
        <f t="shared" si="9"/>
        <v>10000</v>
      </c>
      <c r="P63" s="1021">
        <v>10000</v>
      </c>
      <c r="Q63" s="1039"/>
      <c r="R63" s="697"/>
      <c r="S63" s="697"/>
    </row>
    <row r="64" spans="1:19" s="706" customFormat="1" ht="13.5" thickBot="1" x14ac:dyDescent="0.25">
      <c r="A64" s="699" t="s">
        <v>894</v>
      </c>
      <c r="B64" s="700"/>
      <c r="C64" s="711"/>
      <c r="D64" s="701"/>
      <c r="E64" s="711"/>
      <c r="F64" s="701"/>
      <c r="G64" s="701"/>
      <c r="H64" s="702"/>
      <c r="I64" s="1004"/>
      <c r="J64" s="1021"/>
      <c r="K64" s="1018">
        <v>19685</v>
      </c>
      <c r="L64" s="709"/>
      <c r="M64" s="709"/>
      <c r="N64" s="709">
        <v>5315</v>
      </c>
      <c r="O64" s="1004">
        <f t="shared" si="9"/>
        <v>25000</v>
      </c>
      <c r="P64" s="1021">
        <v>25000</v>
      </c>
      <c r="Q64" s="1039"/>
      <c r="R64" s="697"/>
      <c r="S64" s="697"/>
    </row>
    <row r="65" spans="1:17" s="706" customFormat="1" ht="29.25" customHeight="1" thickTop="1" x14ac:dyDescent="0.2">
      <c r="A65" s="731" t="s">
        <v>895</v>
      </c>
      <c r="B65" s="732">
        <f>SUM(B66:B76)</f>
        <v>22205</v>
      </c>
      <c r="C65" s="732">
        <f>SUM(C66:C76)</f>
        <v>0</v>
      </c>
      <c r="D65" s="732">
        <f>SUM(D66:D76)</f>
        <v>5000</v>
      </c>
      <c r="E65" s="732">
        <f>SUM(E66:E76)</f>
        <v>20511.992125984252</v>
      </c>
      <c r="F65" s="732">
        <f t="shared" ref="F65:G65" si="12">SUM(F66:F68)</f>
        <v>0</v>
      </c>
      <c r="G65" s="732">
        <f t="shared" si="12"/>
        <v>0</v>
      </c>
      <c r="H65" s="732">
        <f>SUM(H66:H76)</f>
        <v>12883</v>
      </c>
      <c r="I65" s="1009">
        <f>SUM(B65:H65)</f>
        <v>60599.992125984252</v>
      </c>
      <c r="J65" s="1024">
        <f>SUM(J66:J76)</f>
        <v>60600</v>
      </c>
      <c r="K65" s="733">
        <f>SUM(K66:K76)</f>
        <v>10000</v>
      </c>
      <c r="L65" s="733">
        <f t="shared" ref="L65:N65" si="13">SUM(L66:L76)</f>
        <v>10000</v>
      </c>
      <c r="M65" s="733">
        <f t="shared" si="13"/>
        <v>5000</v>
      </c>
      <c r="N65" s="733">
        <f t="shared" si="13"/>
        <v>6750</v>
      </c>
      <c r="O65" s="1013">
        <f t="shared" si="9"/>
        <v>31750</v>
      </c>
      <c r="P65" s="1024">
        <f>SUM(P66:P76)</f>
        <v>31750</v>
      </c>
      <c r="Q65" s="1041"/>
    </row>
    <row r="66" spans="1:17" x14ac:dyDescent="0.2">
      <c r="A66" s="734" t="s">
        <v>896</v>
      </c>
      <c r="B66" s="735">
        <v>12205</v>
      </c>
      <c r="C66" s="719"/>
      <c r="D66" s="719"/>
      <c r="E66" s="719"/>
      <c r="F66" s="719"/>
      <c r="G66" s="719"/>
      <c r="H66" s="712">
        <v>3295</v>
      </c>
      <c r="I66" s="1010">
        <f t="shared" ref="I66:I106" si="14">SUM(B66:H66)</f>
        <v>15500</v>
      </c>
      <c r="J66" s="1025">
        <v>15500</v>
      </c>
      <c r="K66" s="736"/>
      <c r="L66" s="719"/>
      <c r="M66" s="719"/>
      <c r="N66" s="719"/>
      <c r="O66" s="1003"/>
      <c r="P66" s="1021"/>
      <c r="Q66" s="1042"/>
    </row>
    <row r="67" spans="1:17" x14ac:dyDescent="0.2">
      <c r="A67" s="734" t="s">
        <v>1083</v>
      </c>
      <c r="B67" s="708">
        <v>10000</v>
      </c>
      <c r="C67" s="702"/>
      <c r="D67" s="702"/>
      <c r="E67" s="702"/>
      <c r="F67" s="702"/>
      <c r="G67" s="702"/>
      <c r="H67" s="712">
        <v>2700</v>
      </c>
      <c r="I67" s="1010">
        <f t="shared" si="14"/>
        <v>12700</v>
      </c>
      <c r="J67" s="1020">
        <v>12700</v>
      </c>
      <c r="K67" s="708"/>
      <c r="L67" s="708"/>
      <c r="M67" s="708"/>
      <c r="N67" s="708"/>
      <c r="O67" s="1003"/>
      <c r="P67" s="1021"/>
      <c r="Q67" s="1042"/>
    </row>
    <row r="68" spans="1:17" x14ac:dyDescent="0.2">
      <c r="A68" s="734" t="s">
        <v>897</v>
      </c>
      <c r="B68" s="708"/>
      <c r="C68" s="702"/>
      <c r="D68" s="702"/>
      <c r="E68" s="702">
        <v>9449</v>
      </c>
      <c r="F68" s="702"/>
      <c r="G68" s="702"/>
      <c r="H68" s="712">
        <v>2551</v>
      </c>
      <c r="I68" s="1010">
        <f t="shared" si="14"/>
        <v>12000</v>
      </c>
      <c r="J68" s="1020">
        <v>12000</v>
      </c>
      <c r="K68" s="708"/>
      <c r="L68" s="708"/>
      <c r="M68" s="708"/>
      <c r="N68" s="708"/>
      <c r="O68" s="1003"/>
      <c r="P68" s="1021"/>
      <c r="Q68" s="1042"/>
    </row>
    <row r="69" spans="1:17" ht="38.25" x14ac:dyDescent="0.2">
      <c r="A69" s="738" t="s">
        <v>898</v>
      </c>
      <c r="B69" s="708"/>
      <c r="C69" s="702"/>
      <c r="D69" s="702"/>
      <c r="E69" s="702">
        <f>1350/1.27</f>
        <v>1062.992125984252</v>
      </c>
      <c r="F69" s="702"/>
      <c r="G69" s="702"/>
      <c r="H69" s="701">
        <f>1350-1063</f>
        <v>287</v>
      </c>
      <c r="I69" s="1010">
        <f t="shared" si="14"/>
        <v>1349.992125984252</v>
      </c>
      <c r="J69" s="1020">
        <v>1350</v>
      </c>
      <c r="K69" s="708"/>
      <c r="L69" s="708"/>
      <c r="M69" s="708"/>
      <c r="N69" s="708"/>
      <c r="O69" s="1003"/>
      <c r="P69" s="1021"/>
      <c r="Q69" s="1042"/>
    </row>
    <row r="70" spans="1:17" hidden="1" x14ac:dyDescent="0.2">
      <c r="A70" s="738" t="s">
        <v>899</v>
      </c>
      <c r="B70" s="708"/>
      <c r="C70" s="702"/>
      <c r="D70" s="702"/>
      <c r="E70" s="702"/>
      <c r="F70" s="702"/>
      <c r="G70" s="702"/>
      <c r="H70" s="701">
        <f>+C70*0.27</f>
        <v>0</v>
      </c>
      <c r="I70" s="1010">
        <f t="shared" ref="I70:I72" si="15">SUM(B70:H70)</f>
        <v>0</v>
      </c>
      <c r="J70" s="1020"/>
      <c r="K70" s="708"/>
      <c r="L70" s="708"/>
      <c r="M70" s="708"/>
      <c r="N70" s="708"/>
      <c r="O70" s="1003"/>
      <c r="P70" s="1021"/>
      <c r="Q70" s="1042"/>
    </row>
    <row r="71" spans="1:17" x14ac:dyDescent="0.2">
      <c r="A71" s="738" t="s">
        <v>900</v>
      </c>
      <c r="B71" s="708"/>
      <c r="C71" s="702"/>
      <c r="D71" s="702">
        <f>-1000+6000</f>
        <v>5000</v>
      </c>
      <c r="E71" s="702"/>
      <c r="F71" s="702"/>
      <c r="G71" s="702"/>
      <c r="H71" s="701">
        <f>+D71*0.27</f>
        <v>1350</v>
      </c>
      <c r="I71" s="1010">
        <f t="shared" si="15"/>
        <v>6350</v>
      </c>
      <c r="J71" s="1020">
        <v>6350</v>
      </c>
      <c r="K71" s="708"/>
      <c r="L71" s="708"/>
      <c r="M71" s="708"/>
      <c r="N71" s="708"/>
      <c r="O71" s="1003"/>
      <c r="P71" s="1021"/>
      <c r="Q71" s="1042"/>
    </row>
    <row r="72" spans="1:17" x14ac:dyDescent="0.2">
      <c r="A72" s="738" t="s">
        <v>901</v>
      </c>
      <c r="B72" s="708"/>
      <c r="C72" s="702"/>
      <c r="D72" s="702"/>
      <c r="E72" s="702">
        <v>10000</v>
      </c>
      <c r="F72" s="702"/>
      <c r="G72" s="702"/>
      <c r="H72" s="701">
        <f>+E72*0.27</f>
        <v>2700</v>
      </c>
      <c r="I72" s="1010">
        <f t="shared" si="15"/>
        <v>12700</v>
      </c>
      <c r="J72" s="1020">
        <v>12700</v>
      </c>
      <c r="K72" s="708"/>
      <c r="L72" s="708"/>
      <c r="M72" s="708"/>
      <c r="N72" s="708"/>
      <c r="O72" s="1003"/>
      <c r="P72" s="1021"/>
      <c r="Q72" s="1042"/>
    </row>
    <row r="73" spans="1:17" x14ac:dyDescent="0.2">
      <c r="A73" s="738" t="s">
        <v>902</v>
      </c>
      <c r="B73" s="708"/>
      <c r="C73" s="702"/>
      <c r="D73" s="702"/>
      <c r="E73" s="702"/>
      <c r="F73" s="702"/>
      <c r="G73" s="702"/>
      <c r="H73" s="701"/>
      <c r="I73" s="1003"/>
      <c r="J73" s="1020"/>
      <c r="K73" s="708">
        <v>10000</v>
      </c>
      <c r="L73" s="708"/>
      <c r="M73" s="708"/>
      <c r="N73" s="708">
        <f>+K73*0.27</f>
        <v>2700</v>
      </c>
      <c r="O73" s="1003">
        <f t="shared" ref="O73:O74" si="16">SUM(K73:N73)</f>
        <v>12700</v>
      </c>
      <c r="P73" s="1021">
        <v>12700</v>
      </c>
      <c r="Q73" s="1042"/>
    </row>
    <row r="74" spans="1:17" x14ac:dyDescent="0.2">
      <c r="A74" s="738" t="s">
        <v>903</v>
      </c>
      <c r="B74" s="708"/>
      <c r="C74" s="702"/>
      <c r="D74" s="702"/>
      <c r="E74" s="702"/>
      <c r="F74" s="702"/>
      <c r="G74" s="702"/>
      <c r="H74" s="701"/>
      <c r="I74" s="1003"/>
      <c r="J74" s="1020"/>
      <c r="K74" s="708"/>
      <c r="L74" s="708">
        <v>10000</v>
      </c>
      <c r="M74" s="708"/>
      <c r="N74" s="708">
        <f>+L74*0.27</f>
        <v>2700</v>
      </c>
      <c r="O74" s="1003">
        <f t="shared" si="16"/>
        <v>12700</v>
      </c>
      <c r="P74" s="1021">
        <v>12700</v>
      </c>
      <c r="Q74" s="1042"/>
    </row>
    <row r="75" spans="1:17" x14ac:dyDescent="0.2">
      <c r="A75" s="738" t="s">
        <v>904</v>
      </c>
      <c r="B75" s="708"/>
      <c r="C75" s="702"/>
      <c r="D75" s="702"/>
      <c r="E75" s="702"/>
      <c r="F75" s="702"/>
      <c r="G75" s="702"/>
      <c r="H75" s="701"/>
      <c r="I75" s="1003"/>
      <c r="J75" s="1020"/>
      <c r="K75" s="708"/>
      <c r="L75" s="708"/>
      <c r="M75" s="708">
        <v>5000</v>
      </c>
      <c r="N75" s="708">
        <f>+M75*0.27</f>
        <v>1350</v>
      </c>
      <c r="O75" s="1003">
        <f>SUM(K75:N75)</f>
        <v>6350</v>
      </c>
      <c r="P75" s="1021">
        <v>6350</v>
      </c>
      <c r="Q75" s="1042"/>
    </row>
    <row r="76" spans="1:17" ht="13.5" thickBot="1" x14ac:dyDescent="0.25">
      <c r="A76" s="738"/>
      <c r="B76" s="708"/>
      <c r="C76" s="702"/>
      <c r="D76" s="702"/>
      <c r="E76" s="702"/>
      <c r="F76" s="702"/>
      <c r="G76" s="702"/>
      <c r="H76" s="701"/>
      <c r="I76" s="1003"/>
      <c r="J76" s="1020"/>
      <c r="K76" s="708"/>
      <c r="L76" s="708"/>
      <c r="M76" s="708"/>
      <c r="N76" s="708"/>
      <c r="O76" s="1003"/>
      <c r="P76" s="1021"/>
      <c r="Q76" s="1042"/>
    </row>
    <row r="77" spans="1:17" s="706" customFormat="1" ht="29.25" customHeight="1" thickTop="1" x14ac:dyDescent="0.2">
      <c r="A77" s="739" t="s">
        <v>905</v>
      </c>
      <c r="B77" s="732">
        <f t="shared" ref="B77:H77" si="17">SUM(B78:B106)</f>
        <v>0</v>
      </c>
      <c r="C77" s="732">
        <f t="shared" si="17"/>
        <v>0</v>
      </c>
      <c r="D77" s="732">
        <f t="shared" si="17"/>
        <v>0</v>
      </c>
      <c r="E77" s="732">
        <f t="shared" si="17"/>
        <v>0</v>
      </c>
      <c r="F77" s="732">
        <f t="shared" si="17"/>
        <v>0</v>
      </c>
      <c r="G77" s="732">
        <f t="shared" si="17"/>
        <v>0</v>
      </c>
      <c r="H77" s="732">
        <f t="shared" si="17"/>
        <v>0</v>
      </c>
      <c r="I77" s="1009">
        <v>1270</v>
      </c>
      <c r="J77" s="1024">
        <v>1270</v>
      </c>
      <c r="K77" s="733">
        <f>SUM(K78:K106)</f>
        <v>0</v>
      </c>
      <c r="L77" s="733">
        <f>SUM(L78:L106)</f>
        <v>0</v>
      </c>
      <c r="M77" s="733">
        <f>SUM(M78:M106)</f>
        <v>0</v>
      </c>
      <c r="N77" s="733">
        <f>SUM(N78:N106)</f>
        <v>0</v>
      </c>
      <c r="O77" s="1013">
        <f>SUM(K77:N77)</f>
        <v>0</v>
      </c>
      <c r="P77" s="1024">
        <v>0</v>
      </c>
      <c r="Q77" s="1041"/>
    </row>
    <row r="78" spans="1:17" hidden="1" x14ac:dyDescent="0.2">
      <c r="A78" s="740" t="s">
        <v>906</v>
      </c>
      <c r="B78" s="741"/>
      <c r="C78" s="742"/>
      <c r="D78" s="742"/>
      <c r="F78" s="742"/>
      <c r="G78" s="742"/>
      <c r="I78" s="1010">
        <f t="shared" si="14"/>
        <v>0</v>
      </c>
      <c r="J78" s="1025"/>
      <c r="K78" s="743"/>
      <c r="O78" s="1003">
        <f>SUM(K78:N78)</f>
        <v>0</v>
      </c>
      <c r="P78" s="1025"/>
      <c r="Q78" s="1043"/>
    </row>
    <row r="79" spans="1:17" hidden="1" x14ac:dyDescent="0.2">
      <c r="A79" s="744" t="s">
        <v>907</v>
      </c>
      <c r="B79" s="745"/>
      <c r="C79" s="696"/>
      <c r="D79" s="696"/>
      <c r="E79" s="701"/>
      <c r="F79" s="696"/>
      <c r="G79" s="696"/>
      <c r="H79" s="701"/>
      <c r="I79" s="1010">
        <f t="shared" si="14"/>
        <v>0</v>
      </c>
      <c r="J79" s="1020"/>
      <c r="K79" s="746"/>
      <c r="N79" s="710"/>
      <c r="O79" s="1003">
        <f t="shared" ref="O79:O106" si="18">SUM(K79:N79)</f>
        <v>0</v>
      </c>
      <c r="P79" s="1020"/>
      <c r="Q79" s="1043"/>
    </row>
    <row r="80" spans="1:17" hidden="1" x14ac:dyDescent="0.2">
      <c r="A80" s="744" t="s">
        <v>908</v>
      </c>
      <c r="B80" s="745"/>
      <c r="C80" s="696"/>
      <c r="D80" s="696"/>
      <c r="E80" s="701"/>
      <c r="F80" s="696"/>
      <c r="G80" s="696"/>
      <c r="H80" s="701"/>
      <c r="I80" s="1010">
        <f t="shared" si="14"/>
        <v>0</v>
      </c>
      <c r="J80" s="1020"/>
      <c r="K80" s="746"/>
      <c r="O80" s="1003">
        <f t="shared" si="18"/>
        <v>0</v>
      </c>
      <c r="P80" s="1020"/>
      <c r="Q80" s="1043"/>
    </row>
    <row r="81" spans="1:17" hidden="1" x14ac:dyDescent="0.2">
      <c r="A81" s="744" t="s">
        <v>909</v>
      </c>
      <c r="B81" s="745"/>
      <c r="C81" s="696"/>
      <c r="D81" s="696"/>
      <c r="E81" s="701"/>
      <c r="F81" s="696"/>
      <c r="G81" s="696"/>
      <c r="H81" s="701"/>
      <c r="I81" s="1010">
        <f t="shared" si="14"/>
        <v>0</v>
      </c>
      <c r="J81" s="1020"/>
      <c r="K81" s="746"/>
      <c r="O81" s="1003">
        <f t="shared" si="18"/>
        <v>0</v>
      </c>
      <c r="P81" s="1020"/>
      <c r="Q81" s="1043"/>
    </row>
    <row r="82" spans="1:17" hidden="1" x14ac:dyDescent="0.2">
      <c r="A82" s="744" t="s">
        <v>910</v>
      </c>
      <c r="B82" s="745"/>
      <c r="C82" s="696"/>
      <c r="D82" s="696"/>
      <c r="E82" s="701"/>
      <c r="F82" s="696"/>
      <c r="G82" s="696"/>
      <c r="H82" s="701"/>
      <c r="I82" s="1010">
        <f t="shared" si="14"/>
        <v>0</v>
      </c>
      <c r="J82" s="1020"/>
      <c r="K82" s="746"/>
      <c r="O82" s="1003">
        <f t="shared" si="18"/>
        <v>0</v>
      </c>
      <c r="P82" s="1020"/>
      <c r="Q82" s="1043"/>
    </row>
    <row r="83" spans="1:17" hidden="1" x14ac:dyDescent="0.2">
      <c r="A83" s="747" t="s">
        <v>911</v>
      </c>
      <c r="B83" s="745"/>
      <c r="C83" s="696"/>
      <c r="D83" s="696"/>
      <c r="E83" s="701"/>
      <c r="F83" s="696"/>
      <c r="G83" s="696"/>
      <c r="H83" s="701"/>
      <c r="I83" s="1010"/>
      <c r="J83" s="1020"/>
      <c r="K83" s="746"/>
      <c r="N83" s="710"/>
      <c r="O83" s="1003"/>
      <c r="P83" s="1020"/>
      <c r="Q83" s="1043"/>
    </row>
    <row r="84" spans="1:17" hidden="1" x14ac:dyDescent="0.2">
      <c r="A84" s="744" t="s">
        <v>912</v>
      </c>
      <c r="B84" s="745"/>
      <c r="C84" s="696"/>
      <c r="D84" s="696"/>
      <c r="E84" s="701"/>
      <c r="F84" s="696"/>
      <c r="G84" s="696"/>
      <c r="H84" s="701"/>
      <c r="I84" s="1010">
        <f t="shared" si="14"/>
        <v>0</v>
      </c>
      <c r="J84" s="1020"/>
      <c r="K84" s="746"/>
      <c r="N84" s="710"/>
      <c r="O84" s="1003">
        <f t="shared" si="18"/>
        <v>0</v>
      </c>
      <c r="P84" s="1020"/>
      <c r="Q84" s="1043"/>
    </row>
    <row r="85" spans="1:17" hidden="1" x14ac:dyDescent="0.2">
      <c r="A85" s="744" t="s">
        <v>913</v>
      </c>
      <c r="B85" s="745"/>
      <c r="C85" s="696"/>
      <c r="D85" s="696"/>
      <c r="E85" s="701"/>
      <c r="F85" s="696"/>
      <c r="G85" s="696"/>
      <c r="H85" s="701"/>
      <c r="I85" s="1010">
        <f t="shared" si="14"/>
        <v>0</v>
      </c>
      <c r="J85" s="1020"/>
      <c r="K85" s="746"/>
      <c r="N85" s="710"/>
      <c r="O85" s="1003">
        <f t="shared" si="18"/>
        <v>0</v>
      </c>
      <c r="P85" s="1020"/>
      <c r="Q85" s="1043"/>
    </row>
    <row r="86" spans="1:17" hidden="1" x14ac:dyDescent="0.2">
      <c r="A86" s="744" t="s">
        <v>914</v>
      </c>
      <c r="B86" s="745"/>
      <c r="C86" s="696"/>
      <c r="D86" s="696"/>
      <c r="E86" s="701"/>
      <c r="F86" s="696"/>
      <c r="G86" s="696"/>
      <c r="H86" s="701"/>
      <c r="I86" s="1010">
        <f t="shared" si="14"/>
        <v>0</v>
      </c>
      <c r="J86" s="1020"/>
      <c r="K86" s="746"/>
      <c r="N86" s="710"/>
      <c r="O86" s="1003">
        <f t="shared" si="18"/>
        <v>0</v>
      </c>
      <c r="P86" s="1020"/>
      <c r="Q86" s="1043"/>
    </row>
    <row r="87" spans="1:17" hidden="1" x14ac:dyDescent="0.2">
      <c r="A87" s="744" t="s">
        <v>915</v>
      </c>
      <c r="B87" s="745"/>
      <c r="C87" s="696"/>
      <c r="D87" s="696"/>
      <c r="E87" s="701"/>
      <c r="F87" s="696"/>
      <c r="G87" s="696"/>
      <c r="H87" s="701"/>
      <c r="I87" s="1010">
        <f t="shared" si="14"/>
        <v>0</v>
      </c>
      <c r="J87" s="1020"/>
      <c r="K87" s="746"/>
      <c r="N87" s="710"/>
      <c r="O87" s="1003">
        <f t="shared" si="18"/>
        <v>0</v>
      </c>
      <c r="P87" s="1020"/>
      <c r="Q87" s="1043"/>
    </row>
    <row r="88" spans="1:17" ht="25.5" hidden="1" x14ac:dyDescent="0.2">
      <c r="A88" s="744" t="s">
        <v>916</v>
      </c>
      <c r="B88" s="745"/>
      <c r="C88" s="696"/>
      <c r="D88" s="696"/>
      <c r="E88" s="701"/>
      <c r="F88" s="696"/>
      <c r="G88" s="696"/>
      <c r="H88" s="701"/>
      <c r="I88" s="1010">
        <f t="shared" si="14"/>
        <v>0</v>
      </c>
      <c r="J88" s="1020"/>
      <c r="K88" s="746"/>
      <c r="N88" s="710"/>
      <c r="O88" s="1003">
        <f t="shared" si="18"/>
        <v>0</v>
      </c>
      <c r="P88" s="1020"/>
      <c r="Q88" s="1043"/>
    </row>
    <row r="89" spans="1:17" hidden="1" x14ac:dyDescent="0.2">
      <c r="A89" s="744" t="s">
        <v>917</v>
      </c>
      <c r="B89" s="745"/>
      <c r="C89" s="696"/>
      <c r="D89" s="696"/>
      <c r="E89" s="701"/>
      <c r="F89" s="696"/>
      <c r="G89" s="696"/>
      <c r="H89" s="701"/>
      <c r="I89" s="1010">
        <f t="shared" si="14"/>
        <v>0</v>
      </c>
      <c r="J89" s="1020"/>
      <c r="K89" s="746"/>
      <c r="N89" s="710"/>
      <c r="O89" s="1003">
        <f t="shared" si="18"/>
        <v>0</v>
      </c>
      <c r="P89" s="1020"/>
      <c r="Q89" s="1043"/>
    </row>
    <row r="90" spans="1:17" hidden="1" x14ac:dyDescent="0.2">
      <c r="A90" s="744" t="s">
        <v>918</v>
      </c>
      <c r="B90" s="745"/>
      <c r="C90" s="696"/>
      <c r="D90" s="696"/>
      <c r="E90" s="701"/>
      <c r="F90" s="696"/>
      <c r="G90" s="696"/>
      <c r="H90" s="701"/>
      <c r="I90" s="1010">
        <f t="shared" si="14"/>
        <v>0</v>
      </c>
      <c r="J90" s="1020"/>
      <c r="K90" s="746"/>
      <c r="N90" s="710"/>
      <c r="O90" s="1003">
        <f t="shared" si="18"/>
        <v>0</v>
      </c>
      <c r="P90" s="1020"/>
      <c r="Q90" s="1043"/>
    </row>
    <row r="91" spans="1:17" hidden="1" x14ac:dyDescent="0.2">
      <c r="A91" s="744" t="s">
        <v>919</v>
      </c>
      <c r="B91" s="745"/>
      <c r="C91" s="696"/>
      <c r="D91" s="696"/>
      <c r="E91" s="701"/>
      <c r="F91" s="696"/>
      <c r="G91" s="696"/>
      <c r="H91" s="701"/>
      <c r="I91" s="1010">
        <f t="shared" si="14"/>
        <v>0</v>
      </c>
      <c r="J91" s="1020"/>
      <c r="K91" s="746"/>
      <c r="N91" s="710"/>
      <c r="O91" s="1003">
        <f t="shared" si="18"/>
        <v>0</v>
      </c>
      <c r="P91" s="1020"/>
      <c r="Q91" s="1043"/>
    </row>
    <row r="92" spans="1:17" hidden="1" x14ac:dyDescent="0.2">
      <c r="A92" s="744" t="s">
        <v>920</v>
      </c>
      <c r="B92" s="745"/>
      <c r="C92" s="696"/>
      <c r="D92" s="696"/>
      <c r="E92" s="701"/>
      <c r="F92" s="696"/>
      <c r="G92" s="696"/>
      <c r="H92" s="701"/>
      <c r="I92" s="1010">
        <f t="shared" si="14"/>
        <v>0</v>
      </c>
      <c r="J92" s="1020"/>
      <c r="K92" s="746"/>
      <c r="N92" s="710"/>
      <c r="O92" s="1003">
        <f t="shared" si="18"/>
        <v>0</v>
      </c>
      <c r="P92" s="1020"/>
      <c r="Q92" s="1043"/>
    </row>
    <row r="93" spans="1:17" ht="25.5" hidden="1" x14ac:dyDescent="0.2">
      <c r="A93" s="744" t="s">
        <v>921</v>
      </c>
      <c r="B93" s="745"/>
      <c r="C93" s="696"/>
      <c r="D93" s="696"/>
      <c r="E93" s="701"/>
      <c r="F93" s="696"/>
      <c r="G93" s="696"/>
      <c r="H93" s="701"/>
      <c r="I93" s="1010">
        <f t="shared" si="14"/>
        <v>0</v>
      </c>
      <c r="J93" s="1020"/>
      <c r="K93" s="746"/>
      <c r="N93" s="710"/>
      <c r="O93" s="1003">
        <f t="shared" si="18"/>
        <v>0</v>
      </c>
      <c r="P93" s="1020"/>
      <c r="Q93" s="1043"/>
    </row>
    <row r="94" spans="1:17" hidden="1" x14ac:dyDescent="0.2">
      <c r="A94" s="744" t="s">
        <v>922</v>
      </c>
      <c r="B94" s="745"/>
      <c r="C94" s="696"/>
      <c r="D94" s="696"/>
      <c r="E94" s="701"/>
      <c r="F94" s="696"/>
      <c r="G94" s="696"/>
      <c r="H94" s="701"/>
      <c r="I94" s="1010">
        <f t="shared" si="14"/>
        <v>0</v>
      </c>
      <c r="J94" s="1020"/>
      <c r="K94" s="746"/>
      <c r="N94" s="710"/>
      <c r="O94" s="1003">
        <f t="shared" si="18"/>
        <v>0</v>
      </c>
      <c r="P94" s="1020"/>
      <c r="Q94" s="1043"/>
    </row>
    <row r="95" spans="1:17" hidden="1" x14ac:dyDescent="0.2">
      <c r="A95" s="744" t="s">
        <v>923</v>
      </c>
      <c r="B95" s="745"/>
      <c r="C95" s="696"/>
      <c r="D95" s="696"/>
      <c r="E95" s="701"/>
      <c r="F95" s="696"/>
      <c r="G95" s="696"/>
      <c r="H95" s="701"/>
      <c r="I95" s="1010">
        <f t="shared" si="14"/>
        <v>0</v>
      </c>
      <c r="J95" s="1020"/>
      <c r="K95" s="746"/>
      <c r="N95" s="710"/>
      <c r="O95" s="1003">
        <f t="shared" si="18"/>
        <v>0</v>
      </c>
      <c r="P95" s="1020"/>
      <c r="Q95" s="1043"/>
    </row>
    <row r="96" spans="1:17" hidden="1" x14ac:dyDescent="0.2">
      <c r="A96" s="744" t="s">
        <v>924</v>
      </c>
      <c r="B96" s="745"/>
      <c r="C96" s="696"/>
      <c r="D96" s="696"/>
      <c r="E96" s="701"/>
      <c r="F96" s="696"/>
      <c r="G96" s="696"/>
      <c r="H96" s="701"/>
      <c r="I96" s="1010">
        <f t="shared" si="14"/>
        <v>0</v>
      </c>
      <c r="J96" s="1020"/>
      <c r="K96" s="746"/>
      <c r="N96" s="710"/>
      <c r="O96" s="1003">
        <f t="shared" si="18"/>
        <v>0</v>
      </c>
      <c r="P96" s="1020"/>
      <c r="Q96" s="1043"/>
    </row>
    <row r="97" spans="1:17" hidden="1" x14ac:dyDescent="0.2">
      <c r="A97" s="744" t="s">
        <v>925</v>
      </c>
      <c r="B97" s="745"/>
      <c r="C97" s="696"/>
      <c r="D97" s="696"/>
      <c r="E97" s="701"/>
      <c r="F97" s="696"/>
      <c r="G97" s="696"/>
      <c r="H97" s="701"/>
      <c r="I97" s="1010">
        <f t="shared" si="14"/>
        <v>0</v>
      </c>
      <c r="J97" s="1020"/>
      <c r="K97" s="746"/>
      <c r="N97" s="710"/>
      <c r="O97" s="1003">
        <f t="shared" si="18"/>
        <v>0</v>
      </c>
      <c r="P97" s="1020"/>
      <c r="Q97" s="1043"/>
    </row>
    <row r="98" spans="1:17" hidden="1" x14ac:dyDescent="0.2">
      <c r="A98" s="744" t="s">
        <v>926</v>
      </c>
      <c r="B98" s="745"/>
      <c r="C98" s="696"/>
      <c r="D98" s="696"/>
      <c r="E98" s="701"/>
      <c r="F98" s="696"/>
      <c r="G98" s="696"/>
      <c r="H98" s="701"/>
      <c r="I98" s="1010">
        <f t="shared" si="14"/>
        <v>0</v>
      </c>
      <c r="J98" s="1020"/>
      <c r="K98" s="746"/>
      <c r="N98" s="710"/>
      <c r="O98" s="1003">
        <f t="shared" si="18"/>
        <v>0</v>
      </c>
      <c r="P98" s="1020"/>
      <c r="Q98" s="1043"/>
    </row>
    <row r="99" spans="1:17" ht="25.5" hidden="1" x14ac:dyDescent="0.2">
      <c r="A99" s="744" t="s">
        <v>927</v>
      </c>
      <c r="B99" s="745"/>
      <c r="C99" s="696"/>
      <c r="D99" s="696"/>
      <c r="E99" s="701"/>
      <c r="F99" s="696"/>
      <c r="G99" s="696"/>
      <c r="H99" s="701"/>
      <c r="I99" s="1010">
        <f t="shared" si="14"/>
        <v>0</v>
      </c>
      <c r="J99" s="1020"/>
      <c r="K99" s="746"/>
      <c r="N99" s="710"/>
      <c r="O99" s="1003">
        <f t="shared" si="18"/>
        <v>0</v>
      </c>
      <c r="P99" s="1020"/>
      <c r="Q99" s="1043"/>
    </row>
    <row r="100" spans="1:17" hidden="1" x14ac:dyDescent="0.2">
      <c r="A100" s="744" t="s">
        <v>928</v>
      </c>
      <c r="B100" s="745"/>
      <c r="C100" s="696"/>
      <c r="D100" s="701"/>
      <c r="E100" s="701"/>
      <c r="F100" s="696"/>
      <c r="G100" s="696"/>
      <c r="H100" s="701"/>
      <c r="I100" s="1010">
        <f t="shared" si="14"/>
        <v>0</v>
      </c>
      <c r="J100" s="1020"/>
      <c r="K100" s="746"/>
      <c r="N100" s="710"/>
      <c r="O100" s="1003">
        <f t="shared" si="18"/>
        <v>0</v>
      </c>
      <c r="P100" s="1020"/>
      <c r="Q100" s="1043"/>
    </row>
    <row r="101" spans="1:17" hidden="1" x14ac:dyDescent="0.2">
      <c r="A101" s="747" t="s">
        <v>929</v>
      </c>
      <c r="B101" s="745"/>
      <c r="C101" s="696"/>
      <c r="D101" s="701"/>
      <c r="E101" s="701"/>
      <c r="F101" s="696"/>
      <c r="G101" s="701"/>
      <c r="H101" s="701"/>
      <c r="I101" s="1010">
        <f t="shared" si="14"/>
        <v>0</v>
      </c>
      <c r="J101" s="1020"/>
      <c r="K101" s="746"/>
      <c r="N101" s="710"/>
      <c r="O101" s="1003">
        <f t="shared" si="18"/>
        <v>0</v>
      </c>
      <c r="P101" s="1020"/>
      <c r="Q101" s="1043"/>
    </row>
    <row r="102" spans="1:17" ht="25.5" hidden="1" x14ac:dyDescent="0.2">
      <c r="A102" s="747" t="s">
        <v>930</v>
      </c>
      <c r="B102" s="745"/>
      <c r="C102" s="696"/>
      <c r="D102" s="701"/>
      <c r="E102" s="701"/>
      <c r="F102" s="696"/>
      <c r="G102" s="701"/>
      <c r="H102" s="701"/>
      <c r="I102" s="1010">
        <f t="shared" si="14"/>
        <v>0</v>
      </c>
      <c r="J102" s="1020"/>
      <c r="K102" s="746"/>
      <c r="N102" s="710"/>
      <c r="O102" s="1003">
        <f t="shared" si="18"/>
        <v>0</v>
      </c>
      <c r="P102" s="1020"/>
      <c r="Q102" s="1043"/>
    </row>
    <row r="103" spans="1:17" hidden="1" x14ac:dyDescent="0.2">
      <c r="A103" s="747" t="s">
        <v>931</v>
      </c>
      <c r="B103" s="745"/>
      <c r="C103" s="696"/>
      <c r="D103" s="701"/>
      <c r="E103" s="701"/>
      <c r="F103" s="696"/>
      <c r="G103" s="701"/>
      <c r="H103" s="701"/>
      <c r="I103" s="1010">
        <f t="shared" si="14"/>
        <v>0</v>
      </c>
      <c r="J103" s="1020"/>
      <c r="K103" s="746"/>
      <c r="N103" s="710"/>
      <c r="O103" s="1003">
        <f t="shared" si="18"/>
        <v>0</v>
      </c>
      <c r="P103" s="1020"/>
      <c r="Q103" s="1043"/>
    </row>
    <row r="104" spans="1:17" hidden="1" x14ac:dyDescent="0.2">
      <c r="A104" s="747" t="s">
        <v>932</v>
      </c>
      <c r="B104" s="745"/>
      <c r="C104" s="696"/>
      <c r="D104" s="701"/>
      <c r="E104" s="701"/>
      <c r="F104" s="696"/>
      <c r="G104" s="701"/>
      <c r="H104" s="701"/>
      <c r="I104" s="1010">
        <f t="shared" si="14"/>
        <v>0</v>
      </c>
      <c r="J104" s="1020"/>
      <c r="K104" s="746"/>
      <c r="N104" s="710"/>
      <c r="O104" s="1003">
        <f t="shared" si="18"/>
        <v>0</v>
      </c>
      <c r="P104" s="1020"/>
      <c r="Q104" s="1043"/>
    </row>
    <row r="105" spans="1:17" ht="25.5" hidden="1" x14ac:dyDescent="0.2">
      <c r="A105" s="747" t="s">
        <v>933</v>
      </c>
      <c r="B105" s="745"/>
      <c r="C105" s="696"/>
      <c r="D105" s="701"/>
      <c r="E105" s="701"/>
      <c r="F105" s="696"/>
      <c r="G105" s="701"/>
      <c r="H105" s="701"/>
      <c r="I105" s="1010">
        <f t="shared" si="14"/>
        <v>0</v>
      </c>
      <c r="J105" s="1020"/>
      <c r="K105" s="746"/>
      <c r="N105" s="710"/>
      <c r="O105" s="1003">
        <f t="shared" si="18"/>
        <v>0</v>
      </c>
      <c r="P105" s="1020"/>
      <c r="Q105" s="1043"/>
    </row>
    <row r="106" spans="1:17" ht="25.5" hidden="1" x14ac:dyDescent="0.2">
      <c r="A106" s="748" t="s">
        <v>934</v>
      </c>
      <c r="B106" s="745"/>
      <c r="C106" s="696"/>
      <c r="D106" s="701"/>
      <c r="E106" s="701"/>
      <c r="F106" s="696"/>
      <c r="G106" s="696"/>
      <c r="H106" s="701"/>
      <c r="I106" s="1010">
        <f t="shared" si="14"/>
        <v>0</v>
      </c>
      <c r="J106" s="1020"/>
      <c r="K106" s="746"/>
      <c r="N106" s="710"/>
      <c r="O106" s="1003">
        <f t="shared" si="18"/>
        <v>0</v>
      </c>
      <c r="P106" s="1020"/>
      <c r="Q106" s="1043"/>
    </row>
    <row r="107" spans="1:17" s="706" customFormat="1" ht="30" customHeight="1" x14ac:dyDescent="0.2">
      <c r="A107" s="747" t="s">
        <v>935</v>
      </c>
      <c r="B107" s="749">
        <f t="shared" ref="B107:G107" si="19">SUM(B108:B161)</f>
        <v>3823</v>
      </c>
      <c r="C107" s="749">
        <f t="shared" si="19"/>
        <v>0</v>
      </c>
      <c r="D107" s="749">
        <f t="shared" si="19"/>
        <v>2617</v>
      </c>
      <c r="E107" s="749">
        <f t="shared" si="19"/>
        <v>165225</v>
      </c>
      <c r="F107" s="749">
        <f t="shared" si="19"/>
        <v>0</v>
      </c>
      <c r="G107" s="749">
        <f t="shared" si="19"/>
        <v>0</v>
      </c>
      <c r="H107" s="749">
        <f>SUM(H108:H161)</f>
        <v>46349.55000000001</v>
      </c>
      <c r="I107" s="1011">
        <f>SUM(B107:H107)</f>
        <v>218014.55000000002</v>
      </c>
      <c r="J107" s="1026">
        <f>SUM(J115:J161)</f>
        <v>218015</v>
      </c>
      <c r="K107" s="745">
        <f t="shared" ref="K107:M107" si="20">SUM(K108:K161)</f>
        <v>425768</v>
      </c>
      <c r="L107" s="745">
        <f t="shared" si="20"/>
        <v>0</v>
      </c>
      <c r="M107" s="745">
        <f t="shared" si="20"/>
        <v>0</v>
      </c>
      <c r="N107" s="745">
        <f>SUM(N108:N161)</f>
        <v>114956.95</v>
      </c>
      <c r="O107" s="1003">
        <f>SUM(K107:N107)</f>
        <v>540724.94999999995</v>
      </c>
      <c r="P107" s="1026">
        <f>SUM(P115:P161)</f>
        <v>540725</v>
      </c>
      <c r="Q107" s="1041"/>
    </row>
    <row r="108" spans="1:17" s="706" customFormat="1" ht="25.5" hidden="1" x14ac:dyDescent="0.2">
      <c r="A108" s="750" t="s">
        <v>936</v>
      </c>
      <c r="B108" s="751"/>
      <c r="C108" s="749"/>
      <c r="D108" s="749"/>
      <c r="E108" s="749"/>
      <c r="F108" s="749"/>
      <c r="G108" s="749"/>
      <c r="H108" s="712">
        <f t="shared" ref="H108:H129" si="21">((SUM(B108:G108))*0.27)</f>
        <v>0</v>
      </c>
      <c r="I108" s="1010">
        <f t="shared" ref="I108:I128" si="22">SUM(B108:H108)</f>
        <v>0</v>
      </c>
      <c r="J108" s="1025"/>
      <c r="K108" s="703"/>
      <c r="L108" s="745"/>
      <c r="M108" s="745"/>
      <c r="N108" s="705">
        <f t="shared" ref="N108:N128" si="23">((SUM(K108:M108))*0.27)</f>
        <v>0</v>
      </c>
      <c r="O108" s="1003">
        <f t="shared" ref="O108:O136" si="24">SUM(K108:N108)</f>
        <v>0</v>
      </c>
      <c r="P108" s="1021"/>
      <c r="Q108" s="1041"/>
    </row>
    <row r="109" spans="1:17" s="706" customFormat="1" ht="25.5" hidden="1" x14ac:dyDescent="0.2">
      <c r="A109" s="750" t="s">
        <v>937</v>
      </c>
      <c r="B109" s="751"/>
      <c r="C109" s="749"/>
      <c r="D109" s="749"/>
      <c r="E109" s="749"/>
      <c r="F109" s="749"/>
      <c r="G109" s="749"/>
      <c r="H109" s="712">
        <f t="shared" si="21"/>
        <v>0</v>
      </c>
      <c r="I109" s="1010">
        <f t="shared" si="22"/>
        <v>0</v>
      </c>
      <c r="J109" s="1020"/>
      <c r="K109" s="705"/>
      <c r="L109" s="745"/>
      <c r="M109" s="745"/>
      <c r="N109" s="705">
        <f t="shared" si="23"/>
        <v>0</v>
      </c>
      <c r="O109" s="1003">
        <f t="shared" si="24"/>
        <v>0</v>
      </c>
      <c r="P109" s="1021"/>
      <c r="Q109" s="1041"/>
    </row>
    <row r="110" spans="1:17" s="706" customFormat="1" ht="25.5" hidden="1" x14ac:dyDescent="0.2">
      <c r="A110" s="750" t="s">
        <v>938</v>
      </c>
      <c r="B110" s="751"/>
      <c r="C110" s="749"/>
      <c r="D110" s="749"/>
      <c r="E110" s="749"/>
      <c r="F110" s="749"/>
      <c r="G110" s="749"/>
      <c r="H110" s="712">
        <f t="shared" si="21"/>
        <v>0</v>
      </c>
      <c r="I110" s="1010">
        <f t="shared" si="22"/>
        <v>0</v>
      </c>
      <c r="J110" s="1020"/>
      <c r="K110" s="705"/>
      <c r="L110" s="745"/>
      <c r="M110" s="745"/>
      <c r="N110" s="705">
        <f t="shared" si="23"/>
        <v>0</v>
      </c>
      <c r="O110" s="1003">
        <f t="shared" si="24"/>
        <v>0</v>
      </c>
      <c r="P110" s="1021"/>
      <c r="Q110" s="1041"/>
    </row>
    <row r="111" spans="1:17" s="706" customFormat="1" hidden="1" x14ac:dyDescent="0.2">
      <c r="A111" s="750" t="s">
        <v>939</v>
      </c>
      <c r="B111" s="751"/>
      <c r="C111" s="749"/>
      <c r="D111" s="749"/>
      <c r="E111" s="749"/>
      <c r="F111" s="749"/>
      <c r="G111" s="749"/>
      <c r="H111" s="712">
        <f t="shared" si="21"/>
        <v>0</v>
      </c>
      <c r="I111" s="1010">
        <f t="shared" si="22"/>
        <v>0</v>
      </c>
      <c r="J111" s="1020"/>
      <c r="K111" s="705"/>
      <c r="L111" s="745"/>
      <c r="M111" s="745"/>
      <c r="N111" s="705">
        <f t="shared" si="23"/>
        <v>0</v>
      </c>
      <c r="O111" s="1003">
        <f t="shared" si="24"/>
        <v>0</v>
      </c>
      <c r="P111" s="1021"/>
      <c r="Q111" s="1041"/>
    </row>
    <row r="112" spans="1:17" s="706" customFormat="1" ht="25.5" hidden="1" x14ac:dyDescent="0.2">
      <c r="A112" s="750" t="s">
        <v>940</v>
      </c>
      <c r="B112" s="751"/>
      <c r="C112" s="749"/>
      <c r="D112" s="749"/>
      <c r="E112" s="749"/>
      <c r="F112" s="749"/>
      <c r="G112" s="749"/>
      <c r="H112" s="712">
        <f t="shared" si="21"/>
        <v>0</v>
      </c>
      <c r="I112" s="1010">
        <f t="shared" si="22"/>
        <v>0</v>
      </c>
      <c r="J112" s="1020"/>
      <c r="K112" s="705"/>
      <c r="L112" s="745"/>
      <c r="M112" s="745"/>
      <c r="N112" s="705">
        <f t="shared" si="23"/>
        <v>0</v>
      </c>
      <c r="O112" s="1003">
        <f t="shared" si="24"/>
        <v>0</v>
      </c>
      <c r="P112" s="1021"/>
      <c r="Q112" s="1041"/>
    </row>
    <row r="113" spans="1:17" s="706" customFormat="1" ht="25.5" hidden="1" x14ac:dyDescent="0.2">
      <c r="A113" s="750" t="s">
        <v>941</v>
      </c>
      <c r="B113" s="751"/>
      <c r="C113" s="749"/>
      <c r="D113" s="749"/>
      <c r="E113" s="749"/>
      <c r="F113" s="749"/>
      <c r="G113" s="749"/>
      <c r="H113" s="712">
        <f t="shared" si="21"/>
        <v>0</v>
      </c>
      <c r="I113" s="1010">
        <f t="shared" si="22"/>
        <v>0</v>
      </c>
      <c r="J113" s="1020"/>
      <c r="K113" s="705"/>
      <c r="L113" s="745"/>
      <c r="M113" s="745"/>
      <c r="N113" s="705">
        <f t="shared" si="23"/>
        <v>0</v>
      </c>
      <c r="O113" s="1003">
        <f t="shared" si="24"/>
        <v>0</v>
      </c>
      <c r="P113" s="1021"/>
      <c r="Q113" s="1041"/>
    </row>
    <row r="114" spans="1:17" s="706" customFormat="1" ht="25.5" hidden="1" x14ac:dyDescent="0.2">
      <c r="A114" s="750" t="s">
        <v>942</v>
      </c>
      <c r="B114" s="751"/>
      <c r="C114" s="749"/>
      <c r="D114" s="749"/>
      <c r="E114" s="749"/>
      <c r="F114" s="749"/>
      <c r="G114" s="749"/>
      <c r="H114" s="712">
        <f t="shared" si="21"/>
        <v>0</v>
      </c>
      <c r="I114" s="1010">
        <f t="shared" si="22"/>
        <v>0</v>
      </c>
      <c r="J114" s="1020"/>
      <c r="K114" s="705"/>
      <c r="L114" s="745"/>
      <c r="M114" s="745"/>
      <c r="N114" s="705">
        <f t="shared" si="23"/>
        <v>0</v>
      </c>
      <c r="O114" s="1003">
        <f t="shared" si="24"/>
        <v>0</v>
      </c>
      <c r="P114" s="1021"/>
      <c r="Q114" s="1041"/>
    </row>
    <row r="115" spans="1:17" s="706" customFormat="1" x14ac:dyDescent="0.2">
      <c r="A115" s="747" t="s">
        <v>943</v>
      </c>
      <c r="B115" s="751"/>
      <c r="C115" s="749"/>
      <c r="D115" s="749"/>
      <c r="E115" s="749"/>
      <c r="F115" s="749"/>
      <c r="G115" s="749"/>
      <c r="H115" s="752"/>
      <c r="I115" s="1010"/>
      <c r="J115" s="1020"/>
      <c r="K115" s="705"/>
      <c r="L115" s="745"/>
      <c r="M115" s="745"/>
      <c r="N115" s="705"/>
      <c r="O115" s="1003"/>
      <c r="P115" s="1021"/>
      <c r="Q115" s="1041"/>
    </row>
    <row r="116" spans="1:17" s="706" customFormat="1" ht="25.5" x14ac:dyDescent="0.2">
      <c r="A116" s="750" t="s">
        <v>944</v>
      </c>
      <c r="B116" s="751"/>
      <c r="C116" s="749"/>
      <c r="D116" s="749"/>
      <c r="E116" s="749"/>
      <c r="F116" s="749"/>
      <c r="G116" s="749"/>
      <c r="H116" s="752">
        <f t="shared" si="21"/>
        <v>0</v>
      </c>
      <c r="I116" s="1010">
        <f t="shared" si="22"/>
        <v>0</v>
      </c>
      <c r="J116" s="1025"/>
      <c r="K116" s="703">
        <v>338583</v>
      </c>
      <c r="L116" s="745"/>
      <c r="M116" s="745"/>
      <c r="N116" s="705">
        <f>91417+1</f>
        <v>91418</v>
      </c>
      <c r="O116" s="1003">
        <f t="shared" si="24"/>
        <v>430001</v>
      </c>
      <c r="P116" s="1021">
        <v>430001</v>
      </c>
      <c r="Q116" s="1041"/>
    </row>
    <row r="117" spans="1:17" s="706" customFormat="1" ht="25.5" x14ac:dyDescent="0.2">
      <c r="A117" s="750" t="s">
        <v>945</v>
      </c>
      <c r="B117" s="751"/>
      <c r="C117" s="749"/>
      <c r="D117" s="749"/>
      <c r="E117" s="749"/>
      <c r="F117" s="749"/>
      <c r="G117" s="749"/>
      <c r="H117" s="752">
        <f t="shared" si="21"/>
        <v>0</v>
      </c>
      <c r="I117" s="1010">
        <f t="shared" si="22"/>
        <v>0</v>
      </c>
      <c r="J117" s="1020"/>
      <c r="K117" s="705">
        <v>55118</v>
      </c>
      <c r="L117" s="745"/>
      <c r="M117" s="745"/>
      <c r="N117" s="705">
        <f t="shared" si="23"/>
        <v>14881.86</v>
      </c>
      <c r="O117" s="1003">
        <f t="shared" si="24"/>
        <v>69999.86</v>
      </c>
      <c r="P117" s="1021">
        <v>70000</v>
      </c>
      <c r="Q117" s="1041"/>
    </row>
    <row r="118" spans="1:17" s="706" customFormat="1" x14ac:dyDescent="0.2">
      <c r="A118" s="750" t="s">
        <v>1085</v>
      </c>
      <c r="B118" s="751"/>
      <c r="C118" s="749"/>
      <c r="D118" s="749"/>
      <c r="E118" s="749"/>
      <c r="F118" s="749"/>
      <c r="G118" s="749"/>
      <c r="H118" s="752"/>
      <c r="I118" s="1010"/>
      <c r="J118" s="1020"/>
      <c r="K118" s="705">
        <v>17972</v>
      </c>
      <c r="L118" s="745"/>
      <c r="M118" s="745"/>
      <c r="N118" s="705">
        <f t="shared" si="23"/>
        <v>4852.4400000000005</v>
      </c>
      <c r="O118" s="1003">
        <f t="shared" si="24"/>
        <v>22824.440000000002</v>
      </c>
      <c r="P118" s="1021">
        <v>22824</v>
      </c>
      <c r="Q118" s="1041"/>
    </row>
    <row r="119" spans="1:17" s="706" customFormat="1" x14ac:dyDescent="0.2">
      <c r="A119" s="750" t="s">
        <v>946</v>
      </c>
      <c r="B119" s="751"/>
      <c r="C119" s="749"/>
      <c r="D119" s="749"/>
      <c r="E119" s="753">
        <v>18110</v>
      </c>
      <c r="F119" s="749"/>
      <c r="G119" s="749"/>
      <c r="H119" s="752">
        <f t="shared" ref="H119" si="25">((SUM(B119:G119))*0.27)</f>
        <v>4889.7000000000007</v>
      </c>
      <c r="I119" s="1010">
        <f t="shared" si="22"/>
        <v>22999.7</v>
      </c>
      <c r="J119" s="1020">
        <v>23000</v>
      </c>
      <c r="K119" s="705"/>
      <c r="L119" s="745"/>
      <c r="M119" s="745"/>
      <c r="N119" s="705">
        <f t="shared" si="23"/>
        <v>0</v>
      </c>
      <c r="O119" s="1003">
        <f t="shared" si="24"/>
        <v>0</v>
      </c>
      <c r="P119" s="1021"/>
      <c r="Q119" s="1041"/>
    </row>
    <row r="120" spans="1:17" s="706" customFormat="1" hidden="1" x14ac:dyDescent="0.2">
      <c r="A120" s="750"/>
      <c r="B120" s="751"/>
      <c r="C120" s="749"/>
      <c r="D120" s="749"/>
      <c r="E120" s="749"/>
      <c r="F120" s="749"/>
      <c r="G120" s="749"/>
      <c r="H120" s="752">
        <f t="shared" si="21"/>
        <v>0</v>
      </c>
      <c r="I120" s="1010">
        <f t="shared" si="22"/>
        <v>0</v>
      </c>
      <c r="J120" s="1020"/>
      <c r="K120" s="705"/>
      <c r="L120" s="745"/>
      <c r="M120" s="745"/>
      <c r="N120" s="705">
        <f t="shared" si="23"/>
        <v>0</v>
      </c>
      <c r="O120" s="1003">
        <f t="shared" si="24"/>
        <v>0</v>
      </c>
      <c r="P120" s="1021"/>
      <c r="Q120" s="1041"/>
    </row>
    <row r="121" spans="1:17" s="706" customFormat="1" hidden="1" x14ac:dyDescent="0.2">
      <c r="A121" s="750"/>
      <c r="B121" s="751"/>
      <c r="C121" s="749"/>
      <c r="D121" s="749"/>
      <c r="E121" s="749"/>
      <c r="F121" s="749"/>
      <c r="G121" s="749"/>
      <c r="H121" s="752">
        <f t="shared" si="21"/>
        <v>0</v>
      </c>
      <c r="I121" s="1010">
        <f t="shared" si="22"/>
        <v>0</v>
      </c>
      <c r="J121" s="1020"/>
      <c r="K121" s="705"/>
      <c r="L121" s="745"/>
      <c r="M121" s="745"/>
      <c r="N121" s="705">
        <f t="shared" si="23"/>
        <v>0</v>
      </c>
      <c r="O121" s="1003">
        <f t="shared" si="24"/>
        <v>0</v>
      </c>
      <c r="P121" s="1021"/>
      <c r="Q121" s="1041"/>
    </row>
    <row r="122" spans="1:17" s="706" customFormat="1" hidden="1" x14ac:dyDescent="0.2">
      <c r="A122" s="750"/>
      <c r="B122" s="751"/>
      <c r="C122" s="749"/>
      <c r="D122" s="749"/>
      <c r="E122" s="749"/>
      <c r="F122" s="749"/>
      <c r="G122" s="749"/>
      <c r="H122" s="752">
        <f t="shared" si="21"/>
        <v>0</v>
      </c>
      <c r="I122" s="1010">
        <f t="shared" si="22"/>
        <v>0</v>
      </c>
      <c r="J122" s="1020"/>
      <c r="K122" s="705"/>
      <c r="L122" s="745"/>
      <c r="M122" s="745"/>
      <c r="N122" s="705">
        <f t="shared" si="23"/>
        <v>0</v>
      </c>
      <c r="O122" s="1003">
        <f t="shared" si="24"/>
        <v>0</v>
      </c>
      <c r="P122" s="1021"/>
      <c r="Q122" s="1041"/>
    </row>
    <row r="123" spans="1:17" s="706" customFormat="1" hidden="1" x14ac:dyDescent="0.2">
      <c r="A123" s="750"/>
      <c r="B123" s="751"/>
      <c r="C123" s="749"/>
      <c r="D123" s="749"/>
      <c r="E123" s="749"/>
      <c r="F123" s="749"/>
      <c r="G123" s="749"/>
      <c r="H123" s="752">
        <f t="shared" si="21"/>
        <v>0</v>
      </c>
      <c r="I123" s="1010">
        <f t="shared" si="22"/>
        <v>0</v>
      </c>
      <c r="J123" s="1020"/>
      <c r="K123" s="705"/>
      <c r="L123" s="745"/>
      <c r="M123" s="745"/>
      <c r="N123" s="705">
        <f t="shared" si="23"/>
        <v>0</v>
      </c>
      <c r="O123" s="1003">
        <f t="shared" si="24"/>
        <v>0</v>
      </c>
      <c r="P123" s="1021"/>
      <c r="Q123" s="1041"/>
    </row>
    <row r="124" spans="1:17" s="706" customFormat="1" hidden="1" x14ac:dyDescent="0.2">
      <c r="A124" s="750"/>
      <c r="B124" s="751"/>
      <c r="C124" s="749"/>
      <c r="D124" s="749"/>
      <c r="E124" s="749"/>
      <c r="F124" s="749"/>
      <c r="G124" s="749"/>
      <c r="H124" s="752">
        <f t="shared" si="21"/>
        <v>0</v>
      </c>
      <c r="I124" s="1010">
        <f t="shared" si="22"/>
        <v>0</v>
      </c>
      <c r="J124" s="1020"/>
      <c r="K124" s="705"/>
      <c r="L124" s="745"/>
      <c r="M124" s="745"/>
      <c r="N124" s="705">
        <f t="shared" si="23"/>
        <v>0</v>
      </c>
      <c r="O124" s="1003">
        <f t="shared" si="24"/>
        <v>0</v>
      </c>
      <c r="P124" s="1021"/>
      <c r="Q124" s="1041"/>
    </row>
    <row r="125" spans="1:17" s="706" customFormat="1" hidden="1" x14ac:dyDescent="0.2">
      <c r="A125" s="750"/>
      <c r="B125" s="751"/>
      <c r="C125" s="749"/>
      <c r="D125" s="749"/>
      <c r="E125" s="749"/>
      <c r="F125" s="749"/>
      <c r="G125" s="749"/>
      <c r="H125" s="752">
        <f t="shared" si="21"/>
        <v>0</v>
      </c>
      <c r="I125" s="1010">
        <f t="shared" si="22"/>
        <v>0</v>
      </c>
      <c r="J125" s="1020"/>
      <c r="K125" s="705"/>
      <c r="L125" s="745"/>
      <c r="M125" s="745"/>
      <c r="N125" s="705">
        <f t="shared" si="23"/>
        <v>0</v>
      </c>
      <c r="O125" s="1003">
        <f t="shared" si="24"/>
        <v>0</v>
      </c>
      <c r="P125" s="1021"/>
      <c r="Q125" s="1041"/>
    </row>
    <row r="126" spans="1:17" s="706" customFormat="1" hidden="1" x14ac:dyDescent="0.2">
      <c r="A126" s="750"/>
      <c r="B126" s="751"/>
      <c r="C126" s="749"/>
      <c r="D126" s="749"/>
      <c r="E126" s="749"/>
      <c r="F126" s="749"/>
      <c r="G126" s="749"/>
      <c r="H126" s="752">
        <f t="shared" si="21"/>
        <v>0</v>
      </c>
      <c r="I126" s="1010">
        <f t="shared" si="22"/>
        <v>0</v>
      </c>
      <c r="J126" s="1020"/>
      <c r="K126" s="705"/>
      <c r="L126" s="745"/>
      <c r="M126" s="745"/>
      <c r="N126" s="705">
        <f t="shared" si="23"/>
        <v>0</v>
      </c>
      <c r="O126" s="1003">
        <f t="shared" si="24"/>
        <v>0</v>
      </c>
      <c r="P126" s="1021"/>
      <c r="Q126" s="1041"/>
    </row>
    <row r="127" spans="1:17" s="706" customFormat="1" hidden="1" x14ac:dyDescent="0.2">
      <c r="A127" s="750"/>
      <c r="B127" s="751"/>
      <c r="C127" s="749"/>
      <c r="D127" s="749"/>
      <c r="E127" s="749"/>
      <c r="F127" s="749"/>
      <c r="G127" s="749"/>
      <c r="H127" s="752">
        <f t="shared" si="21"/>
        <v>0</v>
      </c>
      <c r="I127" s="1010">
        <f t="shared" si="22"/>
        <v>0</v>
      </c>
      <c r="J127" s="1020"/>
      <c r="K127" s="705"/>
      <c r="L127" s="745"/>
      <c r="M127" s="745"/>
      <c r="N127" s="705">
        <f t="shared" si="23"/>
        <v>0</v>
      </c>
      <c r="O127" s="1003">
        <f t="shared" si="24"/>
        <v>0</v>
      </c>
      <c r="P127" s="1021"/>
      <c r="Q127" s="1041"/>
    </row>
    <row r="128" spans="1:17" s="706" customFormat="1" hidden="1" x14ac:dyDescent="0.2">
      <c r="A128" s="750"/>
      <c r="B128" s="751"/>
      <c r="C128" s="749"/>
      <c r="D128" s="749"/>
      <c r="E128" s="749"/>
      <c r="F128" s="749"/>
      <c r="G128" s="749"/>
      <c r="H128" s="752">
        <f t="shared" si="21"/>
        <v>0</v>
      </c>
      <c r="I128" s="1010">
        <f t="shared" si="22"/>
        <v>0</v>
      </c>
      <c r="J128" s="1020"/>
      <c r="K128" s="705"/>
      <c r="L128" s="745"/>
      <c r="M128" s="745"/>
      <c r="N128" s="705">
        <f t="shared" si="23"/>
        <v>0</v>
      </c>
      <c r="O128" s="1003">
        <f t="shared" si="24"/>
        <v>0</v>
      </c>
      <c r="P128" s="1021"/>
      <c r="Q128" s="1041"/>
    </row>
    <row r="129" spans="1:17" s="706" customFormat="1" x14ac:dyDescent="0.2">
      <c r="A129" s="747" t="s">
        <v>947</v>
      </c>
      <c r="B129" s="751"/>
      <c r="C129" s="749"/>
      <c r="D129" s="749"/>
      <c r="E129" s="749"/>
      <c r="F129" s="749"/>
      <c r="G129" s="749"/>
      <c r="H129" s="752">
        <f t="shared" si="21"/>
        <v>0</v>
      </c>
      <c r="I129" s="1010">
        <f t="shared" ref="I129:I266" si="26">SUM(B129:H129)</f>
        <v>0</v>
      </c>
      <c r="J129" s="1020"/>
      <c r="K129" s="754"/>
      <c r="L129" s="742"/>
      <c r="M129" s="742"/>
      <c r="N129" s="705">
        <f>((SUM(K129:M129))*0.27)</f>
        <v>0</v>
      </c>
      <c r="O129" s="1003">
        <f t="shared" si="24"/>
        <v>0</v>
      </c>
      <c r="P129" s="1021"/>
      <c r="Q129" s="1041"/>
    </row>
    <row r="130" spans="1:17" s="706" customFormat="1" x14ac:dyDescent="0.2">
      <c r="A130" s="750" t="s">
        <v>948</v>
      </c>
      <c r="B130" s="751"/>
      <c r="C130" s="753"/>
      <c r="D130" s="749"/>
      <c r="E130" s="753"/>
      <c r="F130" s="749"/>
      <c r="G130" s="749"/>
      <c r="H130" s="752">
        <f t="shared" ref="H130:H155" si="27">((SUM(B130:G130))*0.27)</f>
        <v>0</v>
      </c>
      <c r="I130" s="1010">
        <f t="shared" si="26"/>
        <v>0</v>
      </c>
      <c r="J130" s="1020"/>
      <c r="K130" s="754"/>
      <c r="L130" s="742"/>
      <c r="M130" s="742"/>
      <c r="N130" s="705">
        <f>((SUM(K130:M130))*0.27)</f>
        <v>0</v>
      </c>
      <c r="O130" s="1003">
        <f t="shared" si="24"/>
        <v>0</v>
      </c>
      <c r="P130" s="1021"/>
      <c r="Q130" s="1041"/>
    </row>
    <row r="131" spans="1:17" s="706" customFormat="1" x14ac:dyDescent="0.2">
      <c r="A131" s="750" t="s">
        <v>949</v>
      </c>
      <c r="B131" s="751"/>
      <c r="C131" s="749"/>
      <c r="D131" s="749"/>
      <c r="E131" s="749"/>
      <c r="F131" s="749"/>
      <c r="G131" s="749"/>
      <c r="H131" s="752">
        <f t="shared" si="27"/>
        <v>0</v>
      </c>
      <c r="I131" s="1010">
        <f t="shared" si="26"/>
        <v>0</v>
      </c>
      <c r="J131" s="1020"/>
      <c r="K131" s="754">
        <v>1260</v>
      </c>
      <c r="L131" s="742"/>
      <c r="M131" s="742"/>
      <c r="N131" s="705">
        <f>((SUM(K131:M131))*0.27)</f>
        <v>340.20000000000005</v>
      </c>
      <c r="O131" s="1003">
        <f t="shared" si="24"/>
        <v>1600.2</v>
      </c>
      <c r="P131" s="1021">
        <v>1600</v>
      </c>
      <c r="Q131" s="1041"/>
    </row>
    <row r="132" spans="1:17" s="706" customFormat="1" x14ac:dyDescent="0.2">
      <c r="A132" s="750" t="s">
        <v>950</v>
      </c>
      <c r="B132" s="751"/>
      <c r="C132" s="749"/>
      <c r="D132" s="749"/>
      <c r="E132" s="749"/>
      <c r="F132" s="749"/>
      <c r="G132" s="749"/>
      <c r="H132" s="752">
        <f t="shared" si="27"/>
        <v>0</v>
      </c>
      <c r="I132" s="1010">
        <f t="shared" si="26"/>
        <v>0</v>
      </c>
      <c r="J132" s="1020"/>
      <c r="K132" s="754"/>
      <c r="L132" s="742"/>
      <c r="M132" s="742"/>
      <c r="N132" s="705">
        <f>((SUM(K132:M132))*0.27)</f>
        <v>0</v>
      </c>
      <c r="O132" s="1003">
        <f t="shared" si="24"/>
        <v>0</v>
      </c>
      <c r="P132" s="1021"/>
      <c r="Q132" s="1041"/>
    </row>
    <row r="133" spans="1:17" s="706" customFormat="1" x14ac:dyDescent="0.2">
      <c r="A133" s="750" t="s">
        <v>951</v>
      </c>
      <c r="B133" s="751"/>
      <c r="C133" s="749"/>
      <c r="D133" s="749"/>
      <c r="E133" s="753">
        <v>2362</v>
      </c>
      <c r="F133" s="749"/>
      <c r="G133" s="749"/>
      <c r="H133" s="752">
        <f t="shared" ref="H133:H135" si="28">((SUM(B133:G133))*0.27)</f>
        <v>637.74</v>
      </c>
      <c r="I133" s="1010">
        <f t="shared" si="26"/>
        <v>2999.74</v>
      </c>
      <c r="J133" s="1020">
        <v>3000</v>
      </c>
      <c r="K133" s="755"/>
      <c r="L133" s="742"/>
      <c r="M133" s="742"/>
      <c r="N133" s="705">
        <f t="shared" ref="N133:N145" si="29">((SUM(K133:M133))*0.27)</f>
        <v>0</v>
      </c>
      <c r="O133" s="1003">
        <f t="shared" si="24"/>
        <v>0</v>
      </c>
      <c r="P133" s="1021"/>
      <c r="Q133" s="1041"/>
    </row>
    <row r="134" spans="1:17" s="706" customFormat="1" x14ac:dyDescent="0.2">
      <c r="A134" s="750" t="s">
        <v>952</v>
      </c>
      <c r="B134" s="751"/>
      <c r="C134" s="749"/>
      <c r="D134" s="749"/>
      <c r="E134" s="749"/>
      <c r="F134" s="749"/>
      <c r="G134" s="749"/>
      <c r="H134" s="752">
        <f t="shared" si="27"/>
        <v>0</v>
      </c>
      <c r="I134" s="1010">
        <f t="shared" si="26"/>
        <v>0</v>
      </c>
      <c r="J134" s="1020"/>
      <c r="K134" s="754">
        <v>9449</v>
      </c>
      <c r="L134" s="742"/>
      <c r="M134" s="742"/>
      <c r="N134" s="705">
        <f t="shared" si="29"/>
        <v>2551.23</v>
      </c>
      <c r="O134" s="1003">
        <f t="shared" si="24"/>
        <v>12000.23</v>
      </c>
      <c r="P134" s="1021">
        <v>12000</v>
      </c>
      <c r="Q134" s="1041"/>
    </row>
    <row r="135" spans="1:17" s="706" customFormat="1" x14ac:dyDescent="0.2">
      <c r="A135" s="750" t="s">
        <v>953</v>
      </c>
      <c r="B135" s="751"/>
      <c r="C135" s="749"/>
      <c r="D135" s="749"/>
      <c r="E135" s="753">
        <v>788</v>
      </c>
      <c r="F135" s="749"/>
      <c r="G135" s="749"/>
      <c r="H135" s="752">
        <f t="shared" si="28"/>
        <v>212.76000000000002</v>
      </c>
      <c r="I135" s="1010">
        <f t="shared" si="26"/>
        <v>1000.76</v>
      </c>
      <c r="J135" s="1020">
        <v>1000</v>
      </c>
      <c r="K135" s="755"/>
      <c r="L135" s="742"/>
      <c r="M135" s="742"/>
      <c r="N135" s="705">
        <f t="shared" si="29"/>
        <v>0</v>
      </c>
      <c r="O135" s="1003">
        <f t="shared" si="24"/>
        <v>0</v>
      </c>
      <c r="P135" s="1021"/>
      <c r="Q135" s="1041"/>
    </row>
    <row r="136" spans="1:17" s="706" customFormat="1" x14ac:dyDescent="0.2">
      <c r="A136" s="750" t="s">
        <v>954</v>
      </c>
      <c r="B136" s="751"/>
      <c r="C136" s="749"/>
      <c r="D136" s="749"/>
      <c r="E136" s="749"/>
      <c r="F136" s="749"/>
      <c r="G136" s="749"/>
      <c r="H136" s="752">
        <f t="shared" si="27"/>
        <v>0</v>
      </c>
      <c r="I136" s="1010">
        <f t="shared" si="26"/>
        <v>0</v>
      </c>
      <c r="J136" s="1020"/>
      <c r="K136" s="754">
        <v>3150</v>
      </c>
      <c r="L136" s="742"/>
      <c r="M136" s="742"/>
      <c r="N136" s="705">
        <f>((SUM(K136:M136))*0.27)-1</f>
        <v>849.5</v>
      </c>
      <c r="O136" s="1003">
        <f t="shared" si="24"/>
        <v>3999.5</v>
      </c>
      <c r="P136" s="1021">
        <v>4000</v>
      </c>
      <c r="Q136" s="1041"/>
    </row>
    <row r="137" spans="1:17" s="756" customFormat="1" x14ac:dyDescent="0.2">
      <c r="A137" s="734" t="s">
        <v>955</v>
      </c>
      <c r="B137" s="735"/>
      <c r="C137" s="719"/>
      <c r="D137" s="719"/>
      <c r="E137" s="719"/>
      <c r="F137" s="719"/>
      <c r="G137" s="719"/>
      <c r="H137" s="752">
        <f t="shared" si="27"/>
        <v>0</v>
      </c>
      <c r="I137" s="1010">
        <f>SUM(B137:H137)</f>
        <v>0</v>
      </c>
      <c r="J137" s="1020"/>
      <c r="K137" s="754">
        <v>236</v>
      </c>
      <c r="L137" s="712"/>
      <c r="M137" s="712"/>
      <c r="N137" s="705">
        <f t="shared" si="29"/>
        <v>63.720000000000006</v>
      </c>
      <c r="O137" s="1003">
        <f>SUM(K137:N137)</f>
        <v>299.72000000000003</v>
      </c>
      <c r="P137" s="1021">
        <v>300</v>
      </c>
      <c r="Q137" s="1044"/>
    </row>
    <row r="138" spans="1:17" s="756" customFormat="1" x14ac:dyDescent="0.2">
      <c r="A138" s="720" t="s">
        <v>956</v>
      </c>
      <c r="B138" s="725"/>
      <c r="C138" s="702"/>
      <c r="D138" s="702"/>
      <c r="E138" s="702">
        <v>551</v>
      </c>
      <c r="F138" s="702"/>
      <c r="G138" s="702"/>
      <c r="H138" s="752">
        <f t="shared" ref="H138" si="30">((SUM(B138:G138))*0.27)</f>
        <v>148.77000000000001</v>
      </c>
      <c r="I138" s="1010">
        <f t="shared" ref="I138:I160" si="31">SUM(B138:H138)</f>
        <v>699.77</v>
      </c>
      <c r="J138" s="1020">
        <v>700</v>
      </c>
      <c r="K138" s="710"/>
      <c r="L138" s="701"/>
      <c r="M138" s="701"/>
      <c r="N138" s="705">
        <f t="shared" si="29"/>
        <v>0</v>
      </c>
      <c r="O138" s="1003">
        <f t="shared" ref="O138:O161" si="32">SUM(K138:N138)</f>
        <v>0</v>
      </c>
      <c r="P138" s="1021"/>
      <c r="Q138" s="1044"/>
    </row>
    <row r="139" spans="1:17" s="756" customFormat="1" x14ac:dyDescent="0.2">
      <c r="A139" s="747" t="s">
        <v>957</v>
      </c>
      <c r="B139" s="725"/>
      <c r="C139" s="702"/>
      <c r="D139" s="702"/>
      <c r="E139" s="702"/>
      <c r="F139" s="702"/>
      <c r="G139" s="702"/>
      <c r="H139" s="757">
        <f t="shared" si="27"/>
        <v>0</v>
      </c>
      <c r="I139" s="1010">
        <f t="shared" si="31"/>
        <v>0</v>
      </c>
      <c r="J139" s="1020"/>
      <c r="K139" s="710"/>
      <c r="L139" s="701"/>
      <c r="M139" s="701"/>
      <c r="N139" s="705">
        <f t="shared" si="29"/>
        <v>0</v>
      </c>
      <c r="O139" s="1003">
        <f t="shared" si="32"/>
        <v>0</v>
      </c>
      <c r="P139" s="1021"/>
      <c r="Q139" s="1044"/>
    </row>
    <row r="140" spans="1:17" s="756" customFormat="1" x14ac:dyDescent="0.2">
      <c r="A140" s="750" t="s">
        <v>958</v>
      </c>
      <c r="B140" s="725"/>
      <c r="C140" s="702"/>
      <c r="D140" s="702"/>
      <c r="E140" s="702"/>
      <c r="F140" s="702"/>
      <c r="G140" s="702"/>
      <c r="H140" s="757">
        <f t="shared" si="27"/>
        <v>0</v>
      </c>
      <c r="I140" s="1010">
        <f t="shared" si="31"/>
        <v>0</v>
      </c>
      <c r="J140" s="1020"/>
      <c r="K140" s="710"/>
      <c r="L140" s="701"/>
      <c r="M140" s="701"/>
      <c r="N140" s="705">
        <f t="shared" si="29"/>
        <v>0</v>
      </c>
      <c r="O140" s="1003">
        <f t="shared" si="32"/>
        <v>0</v>
      </c>
      <c r="P140" s="1021"/>
      <c r="Q140" s="1044"/>
    </row>
    <row r="141" spans="1:17" s="756" customFormat="1" x14ac:dyDescent="0.2">
      <c r="A141" s="747" t="s">
        <v>959</v>
      </c>
      <c r="B141" s="725"/>
      <c r="C141" s="702"/>
      <c r="D141" s="702"/>
      <c r="E141" s="702"/>
      <c r="F141" s="702"/>
      <c r="G141" s="702"/>
      <c r="H141" s="757">
        <f t="shared" si="27"/>
        <v>0</v>
      </c>
      <c r="I141" s="1010">
        <f t="shared" si="31"/>
        <v>0</v>
      </c>
      <c r="J141" s="1020"/>
      <c r="K141" s="710"/>
      <c r="L141" s="701"/>
      <c r="M141" s="701"/>
      <c r="N141" s="705">
        <f t="shared" si="29"/>
        <v>0</v>
      </c>
      <c r="O141" s="1003">
        <f t="shared" si="32"/>
        <v>0</v>
      </c>
      <c r="P141" s="1021"/>
      <c r="Q141" s="1044"/>
    </row>
    <row r="142" spans="1:17" s="756" customFormat="1" x14ac:dyDescent="0.2">
      <c r="A142" s="750" t="s">
        <v>960</v>
      </c>
      <c r="B142" s="725"/>
      <c r="C142" s="702"/>
      <c r="D142" s="702"/>
      <c r="E142" s="702"/>
      <c r="F142" s="702"/>
      <c r="G142" s="702"/>
      <c r="H142" s="757">
        <f t="shared" si="27"/>
        <v>0</v>
      </c>
      <c r="I142" s="1010">
        <f t="shared" si="31"/>
        <v>0</v>
      </c>
      <c r="J142" s="1020"/>
      <c r="K142" s="710"/>
      <c r="L142" s="701"/>
      <c r="M142" s="701"/>
      <c r="N142" s="705">
        <f t="shared" si="29"/>
        <v>0</v>
      </c>
      <c r="O142" s="1003">
        <f t="shared" si="32"/>
        <v>0</v>
      </c>
      <c r="P142" s="1021"/>
      <c r="Q142" s="1044"/>
    </row>
    <row r="143" spans="1:17" s="756" customFormat="1" x14ac:dyDescent="0.2">
      <c r="A143" s="750" t="s">
        <v>961</v>
      </c>
      <c r="B143" s="725"/>
      <c r="C143" s="702"/>
      <c r="D143" s="702"/>
      <c r="E143" s="702">
        <v>236</v>
      </c>
      <c r="F143" s="702"/>
      <c r="G143" s="702"/>
      <c r="H143" s="752">
        <f t="shared" ref="H143:H144" si="33">((SUM(B143:G143))*0.27)</f>
        <v>63.720000000000006</v>
      </c>
      <c r="I143" s="1010">
        <f t="shared" si="31"/>
        <v>299.72000000000003</v>
      </c>
      <c r="J143" s="1020">
        <v>300</v>
      </c>
      <c r="K143" s="710"/>
      <c r="L143" s="701"/>
      <c r="M143" s="701"/>
      <c r="N143" s="705">
        <f t="shared" si="29"/>
        <v>0</v>
      </c>
      <c r="O143" s="1003">
        <f t="shared" si="32"/>
        <v>0</v>
      </c>
      <c r="P143" s="1021"/>
      <c r="Q143" s="1044"/>
    </row>
    <row r="144" spans="1:17" s="756" customFormat="1" x14ac:dyDescent="0.2">
      <c r="A144" s="750" t="s">
        <v>962</v>
      </c>
      <c r="B144" s="725"/>
      <c r="C144" s="702"/>
      <c r="D144" s="702"/>
      <c r="E144" s="702">
        <v>473</v>
      </c>
      <c r="F144" s="702"/>
      <c r="G144" s="702"/>
      <c r="H144" s="752">
        <f t="shared" si="33"/>
        <v>127.71000000000001</v>
      </c>
      <c r="I144" s="1010">
        <f t="shared" si="31"/>
        <v>600.71</v>
      </c>
      <c r="J144" s="1020">
        <v>600</v>
      </c>
      <c r="K144" s="710"/>
      <c r="L144" s="701"/>
      <c r="M144" s="701"/>
      <c r="N144" s="705">
        <f t="shared" si="29"/>
        <v>0</v>
      </c>
      <c r="O144" s="1003">
        <f t="shared" si="32"/>
        <v>0</v>
      </c>
      <c r="P144" s="1021"/>
      <c r="Q144" s="1044"/>
    </row>
    <row r="145" spans="1:17" s="756" customFormat="1" x14ac:dyDescent="0.2">
      <c r="A145" s="747" t="s">
        <v>963</v>
      </c>
      <c r="B145" s="725"/>
      <c r="C145" s="702"/>
      <c r="D145" s="702"/>
      <c r="E145" s="702"/>
      <c r="F145" s="702"/>
      <c r="G145" s="702"/>
      <c r="H145" s="757">
        <f t="shared" si="27"/>
        <v>0</v>
      </c>
      <c r="I145" s="1010">
        <f t="shared" si="31"/>
        <v>0</v>
      </c>
      <c r="J145" s="1020"/>
      <c r="K145" s="710"/>
      <c r="L145" s="701"/>
      <c r="M145" s="701"/>
      <c r="N145" s="705">
        <f t="shared" si="29"/>
        <v>0</v>
      </c>
      <c r="O145" s="1003">
        <f t="shared" si="32"/>
        <v>0</v>
      </c>
      <c r="P145" s="1021"/>
      <c r="Q145" s="1044"/>
    </row>
    <row r="146" spans="1:17" s="756" customFormat="1" x14ac:dyDescent="0.2">
      <c r="A146" s="750" t="s">
        <v>964</v>
      </c>
      <c r="B146" s="725"/>
      <c r="C146" s="702"/>
      <c r="D146" s="702"/>
      <c r="E146" s="702">
        <v>3150</v>
      </c>
      <c r="F146" s="702"/>
      <c r="G146" s="702"/>
      <c r="H146" s="752">
        <f t="shared" ref="H146:H152" si="34">((SUM(B146:G146))*0.27)</f>
        <v>850.5</v>
      </c>
      <c r="I146" s="1010">
        <f t="shared" si="31"/>
        <v>4000.5</v>
      </c>
      <c r="J146" s="1020">
        <v>4000</v>
      </c>
      <c r="K146" s="710"/>
      <c r="L146" s="701"/>
      <c r="M146" s="701"/>
      <c r="N146" s="705"/>
      <c r="O146" s="1003"/>
      <c r="P146" s="1021"/>
      <c r="Q146" s="1044"/>
    </row>
    <row r="147" spans="1:17" s="756" customFormat="1" x14ac:dyDescent="0.2">
      <c r="A147" s="750" t="s">
        <v>965</v>
      </c>
      <c r="B147" s="725"/>
      <c r="C147" s="702"/>
      <c r="D147" s="702"/>
      <c r="E147" s="702">
        <v>5118</v>
      </c>
      <c r="F147" s="702"/>
      <c r="G147" s="702"/>
      <c r="H147" s="752">
        <f t="shared" si="34"/>
        <v>1381.8600000000001</v>
      </c>
      <c r="I147" s="1010">
        <f t="shared" si="31"/>
        <v>6499.8600000000006</v>
      </c>
      <c r="J147" s="1020">
        <v>6500</v>
      </c>
      <c r="K147" s="710"/>
      <c r="L147" s="701"/>
      <c r="M147" s="701"/>
      <c r="N147" s="705"/>
      <c r="O147" s="1003"/>
      <c r="P147" s="1021"/>
      <c r="Q147" s="1044"/>
    </row>
    <row r="148" spans="1:17" s="756" customFormat="1" x14ac:dyDescent="0.2">
      <c r="A148" s="720" t="s">
        <v>966</v>
      </c>
      <c r="B148" s="725"/>
      <c r="C148" s="702"/>
      <c r="D148" s="702"/>
      <c r="E148" s="702">
        <v>7874</v>
      </c>
      <c r="F148" s="702"/>
      <c r="G148" s="702"/>
      <c r="H148" s="752">
        <f t="shared" si="34"/>
        <v>2125.98</v>
      </c>
      <c r="I148" s="1010">
        <f t="shared" si="31"/>
        <v>9999.98</v>
      </c>
      <c r="J148" s="1020">
        <v>10000</v>
      </c>
      <c r="K148" s="710"/>
      <c r="L148" s="701"/>
      <c r="M148" s="701"/>
      <c r="N148" s="705"/>
      <c r="O148" s="1003">
        <f t="shared" si="32"/>
        <v>0</v>
      </c>
      <c r="P148" s="1021"/>
      <c r="Q148" s="1044"/>
    </row>
    <row r="149" spans="1:17" s="756" customFormat="1" x14ac:dyDescent="0.2">
      <c r="A149" s="720" t="s">
        <v>967</v>
      </c>
      <c r="B149" s="725"/>
      <c r="C149" s="702"/>
      <c r="D149" s="702"/>
      <c r="E149" s="702">
        <v>4725</v>
      </c>
      <c r="F149" s="702"/>
      <c r="G149" s="702"/>
      <c r="H149" s="752">
        <f t="shared" si="34"/>
        <v>1275.75</v>
      </c>
      <c r="I149" s="1010">
        <f t="shared" si="31"/>
        <v>6000.75</v>
      </c>
      <c r="J149" s="1020">
        <v>6001</v>
      </c>
      <c r="K149" s="710"/>
      <c r="L149" s="701"/>
      <c r="M149" s="701"/>
      <c r="N149" s="701"/>
      <c r="O149" s="1003">
        <f t="shared" si="32"/>
        <v>0</v>
      </c>
      <c r="P149" s="1021"/>
      <c r="Q149" s="1044"/>
    </row>
    <row r="150" spans="1:17" s="756" customFormat="1" ht="31.5" customHeight="1" x14ac:dyDescent="0.2">
      <c r="A150" s="720" t="s">
        <v>968</v>
      </c>
      <c r="B150" s="725"/>
      <c r="C150" s="702"/>
      <c r="D150" s="702"/>
      <c r="E150" s="702">
        <v>17323</v>
      </c>
      <c r="F150" s="702"/>
      <c r="G150" s="702"/>
      <c r="H150" s="752">
        <f t="shared" si="34"/>
        <v>4677.21</v>
      </c>
      <c r="I150" s="1010">
        <f t="shared" si="31"/>
        <v>22000.21</v>
      </c>
      <c r="J150" s="1020">
        <v>22000</v>
      </c>
      <c r="K150" s="710"/>
      <c r="L150" s="701"/>
      <c r="M150" s="701"/>
      <c r="N150" s="701"/>
      <c r="O150" s="1003">
        <f t="shared" si="32"/>
        <v>0</v>
      </c>
      <c r="P150" s="1021"/>
      <c r="Q150" s="1044"/>
    </row>
    <row r="151" spans="1:17" s="756" customFormat="1" ht="30.75" customHeight="1" x14ac:dyDescent="0.2">
      <c r="A151" s="720" t="s">
        <v>969</v>
      </c>
      <c r="B151" s="725"/>
      <c r="C151" s="702"/>
      <c r="D151" s="702"/>
      <c r="E151" s="702">
        <v>22047</v>
      </c>
      <c r="F151" s="702"/>
      <c r="G151" s="702"/>
      <c r="H151" s="752">
        <f t="shared" si="34"/>
        <v>5952.6900000000005</v>
      </c>
      <c r="I151" s="1010">
        <f t="shared" si="31"/>
        <v>27999.690000000002</v>
      </c>
      <c r="J151" s="1020">
        <v>28000</v>
      </c>
      <c r="K151" s="710"/>
      <c r="L151" s="701"/>
      <c r="M151" s="701"/>
      <c r="N151" s="701"/>
      <c r="O151" s="1003">
        <f t="shared" si="32"/>
        <v>0</v>
      </c>
      <c r="P151" s="1021"/>
      <c r="Q151" s="1044"/>
    </row>
    <row r="152" spans="1:17" s="756" customFormat="1" x14ac:dyDescent="0.2">
      <c r="A152" s="720" t="s">
        <v>970</v>
      </c>
      <c r="B152" s="725"/>
      <c r="C152" s="702"/>
      <c r="D152" s="702"/>
      <c r="E152" s="702">
        <v>47244</v>
      </c>
      <c r="F152" s="702"/>
      <c r="G152" s="702"/>
      <c r="H152" s="752">
        <f t="shared" si="34"/>
        <v>12755.880000000001</v>
      </c>
      <c r="I152" s="1010">
        <f t="shared" si="31"/>
        <v>59999.880000000005</v>
      </c>
      <c r="J152" s="1020">
        <v>60000</v>
      </c>
      <c r="K152" s="710"/>
      <c r="L152" s="701"/>
      <c r="M152" s="701"/>
      <c r="N152" s="701"/>
      <c r="O152" s="1003">
        <f t="shared" si="32"/>
        <v>0</v>
      </c>
      <c r="P152" s="1021"/>
      <c r="Q152" s="1044"/>
    </row>
    <row r="153" spans="1:17" s="756" customFormat="1" x14ac:dyDescent="0.2">
      <c r="A153" s="720" t="s">
        <v>971</v>
      </c>
      <c r="B153" s="725"/>
      <c r="C153" s="702"/>
      <c r="D153" s="702"/>
      <c r="E153" s="702"/>
      <c r="F153" s="702"/>
      <c r="G153" s="702"/>
      <c r="H153" s="757">
        <f t="shared" si="27"/>
        <v>0</v>
      </c>
      <c r="I153" s="1010">
        <f t="shared" si="31"/>
        <v>0</v>
      </c>
      <c r="J153" s="1020"/>
      <c r="K153" s="710"/>
      <c r="L153" s="701"/>
      <c r="M153" s="701"/>
      <c r="N153" s="701"/>
      <c r="O153" s="1003">
        <f t="shared" si="32"/>
        <v>0</v>
      </c>
      <c r="P153" s="1021"/>
      <c r="Q153" s="1044"/>
    </row>
    <row r="154" spans="1:17" s="756" customFormat="1" x14ac:dyDescent="0.2">
      <c r="A154" s="720" t="s">
        <v>972</v>
      </c>
      <c r="B154" s="725"/>
      <c r="C154" s="702"/>
      <c r="D154" s="702"/>
      <c r="E154" s="702">
        <v>22047</v>
      </c>
      <c r="F154" s="702"/>
      <c r="G154" s="702"/>
      <c r="H154" s="752">
        <f t="shared" ref="H154" si="35">((SUM(B154:G154))*0.27)</f>
        <v>5952.6900000000005</v>
      </c>
      <c r="I154" s="1010">
        <f t="shared" si="31"/>
        <v>27999.690000000002</v>
      </c>
      <c r="J154" s="1020">
        <v>28000</v>
      </c>
      <c r="K154" s="710"/>
      <c r="L154" s="701"/>
      <c r="M154" s="701"/>
      <c r="N154" s="701"/>
      <c r="O154" s="1003">
        <f t="shared" si="32"/>
        <v>0</v>
      </c>
      <c r="P154" s="1021"/>
      <c r="Q154" s="1044"/>
    </row>
    <row r="155" spans="1:17" s="756" customFormat="1" x14ac:dyDescent="0.2">
      <c r="A155" s="720" t="s">
        <v>973</v>
      </c>
      <c r="B155" s="725"/>
      <c r="C155" s="702"/>
      <c r="D155" s="702"/>
      <c r="E155" s="702"/>
      <c r="F155" s="702"/>
      <c r="G155" s="702"/>
      <c r="H155" s="757">
        <f t="shared" si="27"/>
        <v>0</v>
      </c>
      <c r="I155" s="1010">
        <f t="shared" si="31"/>
        <v>0</v>
      </c>
      <c r="J155" s="1020"/>
      <c r="K155" s="710"/>
      <c r="L155" s="701"/>
      <c r="M155" s="701"/>
      <c r="N155" s="701"/>
      <c r="O155" s="1003">
        <f t="shared" si="32"/>
        <v>0</v>
      </c>
      <c r="P155" s="1021"/>
      <c r="Q155" s="1044"/>
    </row>
    <row r="156" spans="1:17" s="756" customFormat="1" ht="25.5" x14ac:dyDescent="0.2">
      <c r="A156" s="720" t="s">
        <v>974</v>
      </c>
      <c r="B156" s="725"/>
      <c r="C156" s="702"/>
      <c r="D156" s="702"/>
      <c r="E156" s="702">
        <v>6299</v>
      </c>
      <c r="F156" s="702"/>
      <c r="G156" s="702"/>
      <c r="H156" s="752">
        <f t="shared" ref="H156:H161" si="36">((SUM(B156:G156))*0.27)</f>
        <v>1700.73</v>
      </c>
      <c r="I156" s="1010">
        <f t="shared" si="31"/>
        <v>7999.73</v>
      </c>
      <c r="J156" s="1020">
        <v>8000</v>
      </c>
      <c r="K156" s="710"/>
      <c r="L156" s="701"/>
      <c r="M156" s="701"/>
      <c r="N156" s="701"/>
      <c r="O156" s="1003">
        <f t="shared" si="32"/>
        <v>0</v>
      </c>
      <c r="P156" s="1021"/>
      <c r="Q156" s="1044"/>
    </row>
    <row r="157" spans="1:17" s="756" customFormat="1" x14ac:dyDescent="0.2">
      <c r="A157" s="720" t="s">
        <v>975</v>
      </c>
      <c r="B157" s="725"/>
      <c r="C157" s="702"/>
      <c r="D157" s="702"/>
      <c r="E157" s="702">
        <v>473</v>
      </c>
      <c r="F157" s="702"/>
      <c r="G157" s="702"/>
      <c r="H157" s="752">
        <f t="shared" si="36"/>
        <v>127.71000000000001</v>
      </c>
      <c r="I157" s="1010">
        <f t="shared" si="31"/>
        <v>600.71</v>
      </c>
      <c r="J157" s="1020">
        <v>601</v>
      </c>
      <c r="K157" s="710"/>
      <c r="L157" s="701"/>
      <c r="M157" s="701"/>
      <c r="N157" s="701"/>
      <c r="O157" s="1003">
        <f t="shared" si="32"/>
        <v>0</v>
      </c>
      <c r="P157" s="1021"/>
      <c r="Q157" s="1044"/>
    </row>
    <row r="158" spans="1:17" s="756" customFormat="1" x14ac:dyDescent="0.2">
      <c r="A158" s="720" t="s">
        <v>976</v>
      </c>
      <c r="B158" s="725"/>
      <c r="C158" s="702"/>
      <c r="D158" s="702"/>
      <c r="E158" s="702">
        <v>1221</v>
      </c>
      <c r="F158" s="702"/>
      <c r="G158" s="702"/>
      <c r="H158" s="752">
        <f t="shared" si="36"/>
        <v>329.67</v>
      </c>
      <c r="I158" s="1010">
        <f t="shared" si="31"/>
        <v>1550.67</v>
      </c>
      <c r="J158" s="1020">
        <v>1551</v>
      </c>
      <c r="K158" s="710"/>
      <c r="L158" s="701"/>
      <c r="M158" s="701"/>
      <c r="N158" s="701"/>
      <c r="O158" s="1003">
        <f t="shared" si="32"/>
        <v>0</v>
      </c>
      <c r="P158" s="1021"/>
      <c r="Q158" s="1044"/>
    </row>
    <row r="159" spans="1:17" s="756" customFormat="1" x14ac:dyDescent="0.2">
      <c r="A159" s="720" t="s">
        <v>977</v>
      </c>
      <c r="B159" s="725"/>
      <c r="C159" s="702"/>
      <c r="D159" s="702"/>
      <c r="E159" s="702">
        <v>1024</v>
      </c>
      <c r="F159" s="702"/>
      <c r="G159" s="702"/>
      <c r="H159" s="752">
        <f t="shared" si="36"/>
        <v>276.48</v>
      </c>
      <c r="I159" s="1010">
        <f t="shared" si="31"/>
        <v>1300.48</v>
      </c>
      <c r="J159" s="1020">
        <v>1300</v>
      </c>
      <c r="K159" s="710"/>
      <c r="L159" s="701"/>
      <c r="M159" s="701"/>
      <c r="N159" s="701"/>
      <c r="O159" s="1003">
        <f t="shared" si="32"/>
        <v>0</v>
      </c>
      <c r="P159" s="1021"/>
      <c r="Q159" s="1044"/>
    </row>
    <row r="160" spans="1:17" s="756" customFormat="1" ht="25.5" x14ac:dyDescent="0.2">
      <c r="A160" s="720" t="s">
        <v>978</v>
      </c>
      <c r="B160" s="725"/>
      <c r="C160" s="702"/>
      <c r="D160" s="702"/>
      <c r="E160" s="702">
        <v>578</v>
      </c>
      <c r="F160" s="702"/>
      <c r="G160" s="702"/>
      <c r="H160" s="752">
        <f t="shared" si="36"/>
        <v>156.06</v>
      </c>
      <c r="I160" s="1010">
        <f t="shared" si="31"/>
        <v>734.06</v>
      </c>
      <c r="J160" s="1020">
        <v>734</v>
      </c>
      <c r="K160" s="710"/>
      <c r="L160" s="701"/>
      <c r="M160" s="701"/>
      <c r="N160" s="701"/>
      <c r="O160" s="1003">
        <f t="shared" si="32"/>
        <v>0</v>
      </c>
      <c r="P160" s="1021"/>
      <c r="Q160" s="1044"/>
    </row>
    <row r="161" spans="1:17" s="756" customFormat="1" ht="13.5" thickBot="1" x14ac:dyDescent="0.25">
      <c r="A161" s="758" t="s">
        <v>979</v>
      </c>
      <c r="B161" s="725">
        <v>3823</v>
      </c>
      <c r="C161" s="702"/>
      <c r="D161" s="702">
        <v>2617</v>
      </c>
      <c r="E161" s="702">
        <v>3582</v>
      </c>
      <c r="F161" s="702"/>
      <c r="G161" s="702"/>
      <c r="H161" s="752">
        <f t="shared" si="36"/>
        <v>2705.94</v>
      </c>
      <c r="I161" s="1010">
        <f>SUM(B161:H161)</f>
        <v>12727.94</v>
      </c>
      <c r="J161" s="1020">
        <v>12728</v>
      </c>
      <c r="K161" s="710"/>
      <c r="L161" s="701"/>
      <c r="M161" s="701"/>
      <c r="N161" s="701"/>
      <c r="O161" s="1003">
        <f t="shared" si="32"/>
        <v>0</v>
      </c>
      <c r="P161" s="1021"/>
      <c r="Q161" s="1044"/>
    </row>
    <row r="162" spans="1:17" s="761" customFormat="1" ht="30" customHeight="1" thickTop="1" x14ac:dyDescent="0.25">
      <c r="A162" s="731" t="s">
        <v>980</v>
      </c>
      <c r="B162" s="759">
        <f t="shared" ref="B162:H162" si="37">SUM(B167:B216)</f>
        <v>0</v>
      </c>
      <c r="C162" s="759">
        <f t="shared" si="37"/>
        <v>0</v>
      </c>
      <c r="D162" s="759">
        <f t="shared" si="37"/>
        <v>1000</v>
      </c>
      <c r="E162" s="759">
        <f t="shared" si="37"/>
        <v>7768</v>
      </c>
      <c r="F162" s="759">
        <f t="shared" si="37"/>
        <v>0</v>
      </c>
      <c r="G162" s="759">
        <f t="shared" si="37"/>
        <v>0</v>
      </c>
      <c r="H162" s="759">
        <f t="shared" si="37"/>
        <v>2366</v>
      </c>
      <c r="I162" s="1006">
        <f>SUM(B162:H162)</f>
        <v>11134</v>
      </c>
      <c r="J162" s="1027">
        <f>SUM(J203:J216)</f>
        <v>11134</v>
      </c>
      <c r="K162" s="760">
        <f>SUM(K163:K216)</f>
        <v>19294</v>
      </c>
      <c r="L162" s="760">
        <f>SUM(L163:L216)</f>
        <v>0</v>
      </c>
      <c r="M162" s="760">
        <f>SUM(M163:M216)</f>
        <v>0</v>
      </c>
      <c r="N162" s="760">
        <f>SUM(N163:N216)</f>
        <v>5206</v>
      </c>
      <c r="O162" s="1013">
        <f>SUM(K162:N162)</f>
        <v>24500</v>
      </c>
      <c r="P162" s="1027">
        <f>SUM(P163:P216)</f>
        <v>24500</v>
      </c>
      <c r="Q162" s="1045"/>
    </row>
    <row r="163" spans="1:17" s="761" customFormat="1" x14ac:dyDescent="0.2">
      <c r="A163" s="747" t="s">
        <v>981</v>
      </c>
      <c r="B163" s="762"/>
      <c r="C163" s="763"/>
      <c r="D163" s="763"/>
      <c r="E163" s="763"/>
      <c r="F163" s="763"/>
      <c r="G163" s="763"/>
      <c r="H163" s="763"/>
      <c r="I163" s="1012"/>
      <c r="J163" s="1028"/>
      <c r="K163" s="764"/>
      <c r="L163" s="763"/>
      <c r="M163" s="763"/>
      <c r="N163" s="763"/>
      <c r="O163" s="1014"/>
      <c r="P163" s="1049"/>
      <c r="Q163" s="1045"/>
    </row>
    <row r="164" spans="1:17" s="761" customFormat="1" hidden="1" x14ac:dyDescent="0.2">
      <c r="A164" s="750" t="s">
        <v>982</v>
      </c>
      <c r="B164" s="765"/>
      <c r="C164" s="749"/>
      <c r="D164" s="749"/>
      <c r="E164" s="749"/>
      <c r="F164" s="749"/>
      <c r="G164" s="749"/>
      <c r="H164" s="749"/>
      <c r="I164" s="1011"/>
      <c r="J164" s="1026"/>
      <c r="K164" s="766"/>
      <c r="L164" s="751"/>
      <c r="M164" s="749"/>
      <c r="N164" s="766"/>
      <c r="O164" s="1003">
        <f t="shared" ref="O164:O217" si="38">SUM(K164:N164)</f>
        <v>0</v>
      </c>
      <c r="P164" s="1049"/>
      <c r="Q164" s="1045"/>
    </row>
    <row r="165" spans="1:17" s="761" customFormat="1" hidden="1" x14ac:dyDescent="0.2">
      <c r="A165" s="750" t="s">
        <v>983</v>
      </c>
      <c r="B165" s="765"/>
      <c r="C165" s="749"/>
      <c r="D165" s="749"/>
      <c r="E165" s="749"/>
      <c r="F165" s="749"/>
      <c r="G165" s="749"/>
      <c r="H165" s="749"/>
      <c r="I165" s="1011"/>
      <c r="J165" s="1026"/>
      <c r="K165" s="766"/>
      <c r="L165" s="751"/>
      <c r="M165" s="749"/>
      <c r="N165" s="766"/>
      <c r="O165" s="1003">
        <f t="shared" si="38"/>
        <v>0</v>
      </c>
      <c r="P165" s="1049"/>
      <c r="Q165" s="1045"/>
    </row>
    <row r="166" spans="1:17" s="761" customFormat="1" x14ac:dyDescent="0.2">
      <c r="A166" s="750" t="s">
        <v>984</v>
      </c>
      <c r="B166" s="765"/>
      <c r="C166" s="749"/>
      <c r="D166" s="749"/>
      <c r="E166" s="749"/>
      <c r="F166" s="749"/>
      <c r="G166" s="749"/>
      <c r="H166" s="749"/>
      <c r="I166" s="1011"/>
      <c r="J166" s="1026"/>
      <c r="K166" s="766">
        <v>1969</v>
      </c>
      <c r="L166" s="751"/>
      <c r="M166" s="749"/>
      <c r="N166" s="766">
        <v>531</v>
      </c>
      <c r="O166" s="1003">
        <f t="shared" si="38"/>
        <v>2500</v>
      </c>
      <c r="P166" s="1049">
        <v>2500</v>
      </c>
      <c r="Q166" s="1045"/>
    </row>
    <row r="167" spans="1:17" ht="30.75" hidden="1" customHeight="1" x14ac:dyDescent="0.2">
      <c r="A167" s="748" t="s">
        <v>985</v>
      </c>
      <c r="B167" s="767"/>
      <c r="C167" s="753"/>
      <c r="D167" s="702"/>
      <c r="E167" s="753"/>
      <c r="F167" s="753"/>
      <c r="G167" s="753"/>
      <c r="H167" s="701"/>
      <c r="I167" s="1011"/>
      <c r="J167" s="1026"/>
      <c r="K167" s="766"/>
      <c r="L167" s="710"/>
      <c r="M167" s="701"/>
      <c r="N167" s="766"/>
      <c r="O167" s="1003">
        <f t="shared" si="38"/>
        <v>0</v>
      </c>
      <c r="P167" s="1049"/>
      <c r="Q167" s="1043"/>
    </row>
    <row r="168" spans="1:17" x14ac:dyDescent="0.2">
      <c r="A168" s="747" t="s">
        <v>986</v>
      </c>
      <c r="B168" s="768"/>
      <c r="C168" s="769"/>
      <c r="D168" s="770"/>
      <c r="E168" s="769"/>
      <c r="F168" s="769"/>
      <c r="G168" s="769"/>
      <c r="H168" s="771"/>
      <c r="I168" s="1012"/>
      <c r="J168" s="1028"/>
      <c r="K168" s="772"/>
      <c r="L168" s="772"/>
      <c r="M168" s="771"/>
      <c r="N168" s="772"/>
      <c r="O168" s="1014"/>
      <c r="P168" s="1049"/>
      <c r="Q168" s="1043"/>
    </row>
    <row r="169" spans="1:17" x14ac:dyDescent="0.2">
      <c r="A169" s="748" t="s">
        <v>987</v>
      </c>
      <c r="B169" s="767"/>
      <c r="C169" s="753"/>
      <c r="D169" s="702"/>
      <c r="E169" s="753"/>
      <c r="F169" s="753"/>
      <c r="G169" s="753"/>
      <c r="H169" s="701"/>
      <c r="I169" s="1011"/>
      <c r="J169" s="1026"/>
      <c r="K169" s="710">
        <v>3150</v>
      </c>
      <c r="L169" s="710"/>
      <c r="M169" s="701"/>
      <c r="N169" s="710">
        <v>850</v>
      </c>
      <c r="O169" s="1003">
        <f t="shared" si="38"/>
        <v>4000</v>
      </c>
      <c r="P169" s="1049">
        <v>4000</v>
      </c>
      <c r="Q169" s="1043"/>
    </row>
    <row r="170" spans="1:17" hidden="1" x14ac:dyDescent="0.2">
      <c r="A170" s="748" t="s">
        <v>988</v>
      </c>
      <c r="B170" s="767"/>
      <c r="C170" s="753"/>
      <c r="D170" s="702"/>
      <c r="E170" s="753"/>
      <c r="F170" s="753"/>
      <c r="G170" s="753"/>
      <c r="H170" s="701"/>
      <c r="I170" s="1011"/>
      <c r="J170" s="1026"/>
      <c r="K170" s="710"/>
      <c r="L170" s="710"/>
      <c r="M170" s="701"/>
      <c r="N170" s="710"/>
      <c r="O170" s="1003">
        <f t="shared" si="38"/>
        <v>0</v>
      </c>
      <c r="P170" s="1049"/>
      <c r="Q170" s="1043"/>
    </row>
    <row r="171" spans="1:17" ht="25.5" hidden="1" x14ac:dyDescent="0.2">
      <c r="A171" s="748" t="s">
        <v>989</v>
      </c>
      <c r="B171" s="767"/>
      <c r="C171" s="753"/>
      <c r="D171" s="702"/>
      <c r="E171" s="753"/>
      <c r="F171" s="753"/>
      <c r="G171" s="753"/>
      <c r="H171" s="701"/>
      <c r="I171" s="1011"/>
      <c r="J171" s="1026"/>
      <c r="K171" s="710"/>
      <c r="L171" s="710"/>
      <c r="M171" s="701"/>
      <c r="N171" s="710"/>
      <c r="O171" s="1003">
        <f t="shared" si="38"/>
        <v>0</v>
      </c>
      <c r="P171" s="1049"/>
      <c r="Q171" s="1043"/>
    </row>
    <row r="172" spans="1:17" ht="25.5" hidden="1" x14ac:dyDescent="0.2">
      <c r="A172" s="748" t="s">
        <v>990</v>
      </c>
      <c r="B172" s="767"/>
      <c r="C172" s="753"/>
      <c r="D172" s="702"/>
      <c r="E172" s="753"/>
      <c r="F172" s="753"/>
      <c r="G172" s="753"/>
      <c r="H172" s="701"/>
      <c r="I172" s="1011"/>
      <c r="J172" s="1026"/>
      <c r="K172" s="710"/>
      <c r="L172" s="710"/>
      <c r="M172" s="701"/>
      <c r="N172" s="710"/>
      <c r="O172" s="1003">
        <f t="shared" si="38"/>
        <v>0</v>
      </c>
      <c r="P172" s="1049"/>
      <c r="Q172" s="1043"/>
    </row>
    <row r="173" spans="1:17" ht="25.5" hidden="1" x14ac:dyDescent="0.2">
      <c r="A173" s="748" t="s">
        <v>991</v>
      </c>
      <c r="B173" s="767"/>
      <c r="C173" s="753"/>
      <c r="D173" s="702"/>
      <c r="E173" s="753"/>
      <c r="F173" s="753"/>
      <c r="G173" s="753"/>
      <c r="H173" s="701"/>
      <c r="I173" s="1011"/>
      <c r="J173" s="1026"/>
      <c r="K173" s="710"/>
      <c r="L173" s="710"/>
      <c r="M173" s="701"/>
      <c r="N173" s="710"/>
      <c r="O173" s="1003">
        <f t="shared" si="38"/>
        <v>0</v>
      </c>
      <c r="P173" s="1049"/>
      <c r="Q173" s="1043"/>
    </row>
    <row r="174" spans="1:17" ht="25.5" hidden="1" x14ac:dyDescent="0.2">
      <c r="A174" s="748" t="s">
        <v>992</v>
      </c>
      <c r="B174" s="767"/>
      <c r="C174" s="753"/>
      <c r="D174" s="702"/>
      <c r="E174" s="753"/>
      <c r="F174" s="753"/>
      <c r="G174" s="753"/>
      <c r="H174" s="701"/>
      <c r="I174" s="1011"/>
      <c r="J174" s="1026"/>
      <c r="K174" s="710"/>
      <c r="L174" s="710"/>
      <c r="M174" s="701"/>
      <c r="N174" s="710"/>
      <c r="O174" s="1003">
        <f t="shared" si="38"/>
        <v>0</v>
      </c>
      <c r="P174" s="1049"/>
      <c r="Q174" s="1043"/>
    </row>
    <row r="175" spans="1:17" hidden="1" x14ac:dyDescent="0.2">
      <c r="A175" s="748" t="s">
        <v>993</v>
      </c>
      <c r="B175" s="767"/>
      <c r="C175" s="753"/>
      <c r="D175" s="702"/>
      <c r="E175" s="753"/>
      <c r="F175" s="753"/>
      <c r="G175" s="753"/>
      <c r="H175" s="701"/>
      <c r="I175" s="1011"/>
      <c r="J175" s="1026"/>
      <c r="K175" s="710"/>
      <c r="L175" s="710"/>
      <c r="M175" s="701"/>
      <c r="N175" s="710"/>
      <c r="O175" s="1003">
        <f t="shared" si="38"/>
        <v>0</v>
      </c>
      <c r="P175" s="1049"/>
      <c r="Q175" s="1043"/>
    </row>
    <row r="176" spans="1:17" x14ac:dyDescent="0.2">
      <c r="A176" s="773" t="s">
        <v>994</v>
      </c>
      <c r="B176" s="768"/>
      <c r="C176" s="769"/>
      <c r="D176" s="770"/>
      <c r="E176" s="769"/>
      <c r="F176" s="769"/>
      <c r="G176" s="769"/>
      <c r="H176" s="771"/>
      <c r="I176" s="1012"/>
      <c r="J176" s="1028"/>
      <c r="K176" s="772"/>
      <c r="L176" s="772"/>
      <c r="M176" s="771"/>
      <c r="N176" s="772"/>
      <c r="O176" s="1014"/>
      <c r="P176" s="1049"/>
      <c r="Q176" s="1043"/>
    </row>
    <row r="177" spans="1:17" x14ac:dyDescent="0.2">
      <c r="A177" s="748" t="s">
        <v>995</v>
      </c>
      <c r="B177" s="767"/>
      <c r="C177" s="753"/>
      <c r="D177" s="702"/>
      <c r="E177" s="753"/>
      <c r="F177" s="753"/>
      <c r="G177" s="753"/>
      <c r="H177" s="701"/>
      <c r="I177" s="1011"/>
      <c r="J177" s="1026"/>
      <c r="K177" s="710">
        <v>3150</v>
      </c>
      <c r="L177" s="710"/>
      <c r="M177" s="701"/>
      <c r="N177" s="710">
        <v>850</v>
      </c>
      <c r="O177" s="1003">
        <f t="shared" si="38"/>
        <v>4000</v>
      </c>
      <c r="P177" s="1049">
        <v>4000</v>
      </c>
      <c r="Q177" s="1043"/>
    </row>
    <row r="178" spans="1:17" hidden="1" x14ac:dyDescent="0.2">
      <c r="A178" s="748" t="s">
        <v>996</v>
      </c>
      <c r="B178" s="767"/>
      <c r="C178" s="753"/>
      <c r="D178" s="702"/>
      <c r="E178" s="753"/>
      <c r="F178" s="753"/>
      <c r="G178" s="753"/>
      <c r="H178" s="701"/>
      <c r="I178" s="1011"/>
      <c r="J178" s="1026"/>
      <c r="K178" s="710"/>
      <c r="L178" s="710"/>
      <c r="M178" s="701"/>
      <c r="N178" s="710"/>
      <c r="O178" s="1003">
        <f t="shared" si="38"/>
        <v>0</v>
      </c>
      <c r="P178" s="1049"/>
      <c r="Q178" s="1043"/>
    </row>
    <row r="179" spans="1:17" x14ac:dyDescent="0.2">
      <c r="A179" s="747" t="s">
        <v>997</v>
      </c>
      <c r="B179" s="768"/>
      <c r="C179" s="769"/>
      <c r="D179" s="770"/>
      <c r="E179" s="769"/>
      <c r="F179" s="769"/>
      <c r="G179" s="769"/>
      <c r="H179" s="771"/>
      <c r="I179" s="1012"/>
      <c r="J179" s="1028"/>
      <c r="K179" s="772"/>
      <c r="L179" s="772"/>
      <c r="M179" s="771"/>
      <c r="N179" s="772"/>
      <c r="O179" s="1014"/>
      <c r="P179" s="1049"/>
      <c r="Q179" s="1043"/>
    </row>
    <row r="180" spans="1:17" ht="25.5" hidden="1" x14ac:dyDescent="0.2">
      <c r="A180" s="750" t="s">
        <v>998</v>
      </c>
      <c r="B180" s="767"/>
      <c r="C180" s="753"/>
      <c r="D180" s="702"/>
      <c r="E180" s="753"/>
      <c r="F180" s="753"/>
      <c r="G180" s="753"/>
      <c r="H180" s="701"/>
      <c r="I180" s="1011"/>
      <c r="J180" s="1026"/>
      <c r="K180" s="710"/>
      <c r="L180" s="710"/>
      <c r="M180" s="701"/>
      <c r="N180" s="710"/>
      <c r="O180" s="1003">
        <f t="shared" si="38"/>
        <v>0</v>
      </c>
      <c r="P180" s="1049"/>
      <c r="Q180" s="1043"/>
    </row>
    <row r="181" spans="1:17" hidden="1" x14ac:dyDescent="0.2">
      <c r="A181" s="750" t="s">
        <v>999</v>
      </c>
      <c r="B181" s="767"/>
      <c r="C181" s="753"/>
      <c r="D181" s="702"/>
      <c r="E181" s="753"/>
      <c r="F181" s="753"/>
      <c r="G181" s="753"/>
      <c r="H181" s="701"/>
      <c r="I181" s="1011"/>
      <c r="J181" s="1026"/>
      <c r="K181" s="710"/>
      <c r="L181" s="710"/>
      <c r="M181" s="701"/>
      <c r="N181" s="710"/>
      <c r="O181" s="1003">
        <f t="shared" si="38"/>
        <v>0</v>
      </c>
      <c r="P181" s="1049"/>
      <c r="Q181" s="1043"/>
    </row>
    <row r="182" spans="1:17" ht="25.5" x14ac:dyDescent="0.2">
      <c r="A182" s="750" t="s">
        <v>1000</v>
      </c>
      <c r="B182" s="767"/>
      <c r="C182" s="753"/>
      <c r="D182" s="702"/>
      <c r="E182" s="753"/>
      <c r="F182" s="753"/>
      <c r="G182" s="753"/>
      <c r="H182" s="701"/>
      <c r="I182" s="1011"/>
      <c r="J182" s="1026"/>
      <c r="K182" s="710">
        <v>1969</v>
      </c>
      <c r="L182" s="710"/>
      <c r="M182" s="701"/>
      <c r="N182" s="710">
        <v>531</v>
      </c>
      <c r="O182" s="1003">
        <f t="shared" si="38"/>
        <v>2500</v>
      </c>
      <c r="P182" s="1049">
        <v>2500</v>
      </c>
      <c r="Q182" s="1043"/>
    </row>
    <row r="183" spans="1:17" hidden="1" x14ac:dyDescent="0.2">
      <c r="A183" s="750" t="s">
        <v>1001</v>
      </c>
      <c r="B183" s="767"/>
      <c r="C183" s="753"/>
      <c r="D183" s="702"/>
      <c r="E183" s="753"/>
      <c r="F183" s="753"/>
      <c r="G183" s="753"/>
      <c r="H183" s="701"/>
      <c r="I183" s="1011"/>
      <c r="J183" s="1026"/>
      <c r="K183" s="710"/>
      <c r="L183" s="710"/>
      <c r="M183" s="701"/>
      <c r="N183" s="710"/>
      <c r="O183" s="1003">
        <f t="shared" si="38"/>
        <v>0</v>
      </c>
      <c r="P183" s="1049"/>
      <c r="Q183" s="1043"/>
    </row>
    <row r="184" spans="1:17" ht="25.5" x14ac:dyDescent="0.2">
      <c r="A184" s="750" t="s">
        <v>1002</v>
      </c>
      <c r="B184" s="767"/>
      <c r="C184" s="753"/>
      <c r="D184" s="702"/>
      <c r="E184" s="753"/>
      <c r="F184" s="753"/>
      <c r="G184" s="753"/>
      <c r="H184" s="701"/>
      <c r="I184" s="1011"/>
      <c r="J184" s="1026"/>
      <c r="K184" s="710"/>
      <c r="L184" s="710"/>
      <c r="M184" s="701"/>
      <c r="N184" s="710"/>
      <c r="O184" s="1003">
        <f t="shared" si="38"/>
        <v>0</v>
      </c>
      <c r="P184" s="1049"/>
      <c r="Q184" s="1043"/>
    </row>
    <row r="185" spans="1:17" x14ac:dyDescent="0.2">
      <c r="A185" s="747" t="s">
        <v>1003</v>
      </c>
      <c r="B185" s="768"/>
      <c r="C185" s="769"/>
      <c r="D185" s="770"/>
      <c r="E185" s="769"/>
      <c r="F185" s="769"/>
      <c r="G185" s="769"/>
      <c r="H185" s="771"/>
      <c r="I185" s="1012"/>
      <c r="J185" s="1028"/>
      <c r="K185" s="772"/>
      <c r="L185" s="772"/>
      <c r="M185" s="771"/>
      <c r="N185" s="772"/>
      <c r="O185" s="1014"/>
      <c r="P185" s="1049"/>
      <c r="Q185" s="1043"/>
    </row>
    <row r="186" spans="1:17" x14ac:dyDescent="0.2">
      <c r="A186" s="748" t="s">
        <v>1004</v>
      </c>
      <c r="B186" s="767"/>
      <c r="C186" s="753"/>
      <c r="D186" s="702"/>
      <c r="E186" s="753"/>
      <c r="F186" s="753"/>
      <c r="G186" s="753"/>
      <c r="H186" s="701"/>
      <c r="I186" s="1011"/>
      <c r="J186" s="1026"/>
      <c r="K186" s="710">
        <v>1969</v>
      </c>
      <c r="L186" s="710"/>
      <c r="M186" s="701"/>
      <c r="N186" s="710">
        <v>531</v>
      </c>
      <c r="O186" s="1003">
        <f t="shared" si="38"/>
        <v>2500</v>
      </c>
      <c r="P186" s="1049">
        <v>2500</v>
      </c>
      <c r="Q186" s="1043"/>
    </row>
    <row r="187" spans="1:17" hidden="1" x14ac:dyDescent="0.2">
      <c r="A187" s="748" t="s">
        <v>1005</v>
      </c>
      <c r="B187" s="767"/>
      <c r="C187" s="753"/>
      <c r="D187" s="702"/>
      <c r="E187" s="753"/>
      <c r="F187" s="753"/>
      <c r="G187" s="753"/>
      <c r="H187" s="701"/>
      <c r="I187" s="1011"/>
      <c r="J187" s="1026"/>
      <c r="K187" s="710"/>
      <c r="L187" s="710"/>
      <c r="M187" s="701"/>
      <c r="N187" s="710"/>
      <c r="O187" s="1003">
        <f t="shared" si="38"/>
        <v>0</v>
      </c>
      <c r="P187" s="1049"/>
      <c r="Q187" s="1043"/>
    </row>
    <row r="188" spans="1:17" hidden="1" x14ac:dyDescent="0.2">
      <c r="A188" s="748" t="s">
        <v>982</v>
      </c>
      <c r="B188" s="767"/>
      <c r="C188" s="753"/>
      <c r="D188" s="702"/>
      <c r="E188" s="753"/>
      <c r="F188" s="753"/>
      <c r="G188" s="753"/>
      <c r="H188" s="701"/>
      <c r="I188" s="1011"/>
      <c r="J188" s="1026"/>
      <c r="K188" s="710"/>
      <c r="L188" s="710"/>
      <c r="M188" s="701"/>
      <c r="N188" s="710"/>
      <c r="O188" s="1003">
        <f t="shared" si="38"/>
        <v>0</v>
      </c>
      <c r="P188" s="1049"/>
      <c r="Q188" s="1043"/>
    </row>
    <row r="189" spans="1:17" hidden="1" x14ac:dyDescent="0.2">
      <c r="A189" s="748" t="s">
        <v>1006</v>
      </c>
      <c r="B189" s="767"/>
      <c r="C189" s="753"/>
      <c r="D189" s="702"/>
      <c r="E189" s="753"/>
      <c r="F189" s="753"/>
      <c r="G189" s="753"/>
      <c r="H189" s="701"/>
      <c r="I189" s="1011"/>
      <c r="J189" s="1026"/>
      <c r="K189" s="710"/>
      <c r="L189" s="710"/>
      <c r="M189" s="701"/>
      <c r="N189" s="710"/>
      <c r="O189" s="1003">
        <f t="shared" si="38"/>
        <v>0</v>
      </c>
      <c r="P189" s="1049"/>
      <c r="Q189" s="1043"/>
    </row>
    <row r="190" spans="1:17" x14ac:dyDescent="0.2">
      <c r="A190" s="747" t="s">
        <v>1007</v>
      </c>
      <c r="B190" s="768"/>
      <c r="C190" s="769"/>
      <c r="D190" s="770"/>
      <c r="E190" s="769"/>
      <c r="F190" s="769"/>
      <c r="G190" s="769"/>
      <c r="H190" s="771"/>
      <c r="I190" s="1012"/>
      <c r="J190" s="1028"/>
      <c r="K190" s="772"/>
      <c r="L190" s="772"/>
      <c r="M190" s="771"/>
      <c r="N190" s="772"/>
      <c r="O190" s="1014"/>
      <c r="P190" s="1049"/>
      <c r="Q190" s="1043"/>
    </row>
    <row r="191" spans="1:17" x14ac:dyDescent="0.2">
      <c r="A191" s="748" t="s">
        <v>1008</v>
      </c>
      <c r="B191" s="767"/>
      <c r="C191" s="753"/>
      <c r="D191" s="702"/>
      <c r="E191" s="753"/>
      <c r="F191" s="753"/>
      <c r="G191" s="753"/>
      <c r="H191" s="701"/>
      <c r="I191" s="1011"/>
      <c r="J191" s="1026"/>
      <c r="K191" s="710">
        <v>3937</v>
      </c>
      <c r="L191" s="710"/>
      <c r="M191" s="701"/>
      <c r="N191" s="710">
        <v>1063</v>
      </c>
      <c r="O191" s="1003">
        <f t="shared" si="38"/>
        <v>5000</v>
      </c>
      <c r="P191" s="1049">
        <v>5000</v>
      </c>
      <c r="Q191" s="1043"/>
    </row>
    <row r="192" spans="1:17" hidden="1" x14ac:dyDescent="0.2">
      <c r="A192" s="748" t="s">
        <v>1009</v>
      </c>
      <c r="B192" s="767"/>
      <c r="C192" s="753"/>
      <c r="D192" s="702"/>
      <c r="E192" s="753"/>
      <c r="F192" s="753"/>
      <c r="G192" s="753"/>
      <c r="H192" s="701"/>
      <c r="I192" s="1011"/>
      <c r="J192" s="1026"/>
      <c r="K192" s="710"/>
      <c r="L192" s="710"/>
      <c r="M192" s="701"/>
      <c r="N192" s="710"/>
      <c r="O192" s="1003">
        <f t="shared" si="38"/>
        <v>0</v>
      </c>
      <c r="P192" s="1049"/>
      <c r="Q192" s="1043"/>
    </row>
    <row r="193" spans="1:17" x14ac:dyDescent="0.2">
      <c r="A193" s="747" t="s">
        <v>1010</v>
      </c>
      <c r="B193" s="768"/>
      <c r="C193" s="769"/>
      <c r="D193" s="770"/>
      <c r="E193" s="769"/>
      <c r="F193" s="769"/>
      <c r="G193" s="769"/>
      <c r="H193" s="771"/>
      <c r="I193" s="1012"/>
      <c r="J193" s="1028"/>
      <c r="K193" s="772"/>
      <c r="L193" s="772"/>
      <c r="M193" s="771"/>
      <c r="N193" s="772"/>
      <c r="O193" s="1014"/>
      <c r="P193" s="1049"/>
      <c r="Q193" s="1043"/>
    </row>
    <row r="194" spans="1:17" hidden="1" x14ac:dyDescent="0.2">
      <c r="A194" s="748" t="s">
        <v>1011</v>
      </c>
      <c r="B194" s="767"/>
      <c r="C194" s="753"/>
      <c r="D194" s="702"/>
      <c r="E194" s="753"/>
      <c r="F194" s="753"/>
      <c r="G194" s="753"/>
      <c r="H194" s="701"/>
      <c r="I194" s="1011"/>
      <c r="J194" s="1026"/>
      <c r="K194" s="710"/>
      <c r="L194" s="710"/>
      <c r="M194" s="701"/>
      <c r="N194" s="710"/>
      <c r="O194" s="1003">
        <f t="shared" si="38"/>
        <v>0</v>
      </c>
      <c r="P194" s="1049"/>
      <c r="Q194" s="1043"/>
    </row>
    <row r="195" spans="1:17" hidden="1" x14ac:dyDescent="0.2">
      <c r="A195" s="748" t="s">
        <v>1012</v>
      </c>
      <c r="B195" s="767"/>
      <c r="C195" s="753"/>
      <c r="D195" s="702"/>
      <c r="E195" s="753"/>
      <c r="F195" s="753"/>
      <c r="G195" s="753"/>
      <c r="H195" s="701"/>
      <c r="I195" s="1011"/>
      <c r="J195" s="1026"/>
      <c r="K195" s="710"/>
      <c r="L195" s="710"/>
      <c r="M195" s="701"/>
      <c r="N195" s="710"/>
      <c r="O195" s="1003">
        <f t="shared" si="38"/>
        <v>0</v>
      </c>
      <c r="P195" s="1049"/>
      <c r="Q195" s="1043"/>
    </row>
    <row r="196" spans="1:17" x14ac:dyDescent="0.2">
      <c r="A196" s="748" t="s">
        <v>987</v>
      </c>
      <c r="B196" s="767"/>
      <c r="C196" s="753"/>
      <c r="D196" s="702"/>
      <c r="E196" s="753"/>
      <c r="F196" s="753"/>
      <c r="G196" s="753"/>
      <c r="H196" s="701"/>
      <c r="I196" s="1011"/>
      <c r="J196" s="1026"/>
      <c r="K196" s="710">
        <v>3150</v>
      </c>
      <c r="L196" s="710"/>
      <c r="M196" s="701"/>
      <c r="N196" s="710">
        <v>850</v>
      </c>
      <c r="O196" s="1003">
        <f t="shared" si="38"/>
        <v>4000</v>
      </c>
      <c r="P196" s="1049">
        <v>4000</v>
      </c>
      <c r="Q196" s="1043"/>
    </row>
    <row r="197" spans="1:17" hidden="1" x14ac:dyDescent="0.2">
      <c r="A197" s="748" t="s">
        <v>1013</v>
      </c>
      <c r="B197" s="767"/>
      <c r="C197" s="753"/>
      <c r="D197" s="702"/>
      <c r="E197" s="753"/>
      <c r="F197" s="753"/>
      <c r="G197" s="753"/>
      <c r="H197" s="701"/>
      <c r="I197" s="1011"/>
      <c r="J197" s="1026"/>
      <c r="K197" s="710"/>
      <c r="L197" s="710"/>
      <c r="M197" s="701"/>
      <c r="N197" s="710"/>
      <c r="O197" s="1003">
        <f t="shared" si="38"/>
        <v>0</v>
      </c>
      <c r="P197" s="1049"/>
      <c r="Q197" s="1043"/>
    </row>
    <row r="198" spans="1:17" hidden="1" x14ac:dyDescent="0.2">
      <c r="A198" s="748" t="s">
        <v>1014</v>
      </c>
      <c r="B198" s="767"/>
      <c r="C198" s="753"/>
      <c r="D198" s="702"/>
      <c r="E198" s="753"/>
      <c r="F198" s="753"/>
      <c r="G198" s="753"/>
      <c r="H198" s="701"/>
      <c r="I198" s="1011"/>
      <c r="J198" s="1026"/>
      <c r="K198" s="710"/>
      <c r="L198" s="710"/>
      <c r="M198" s="701"/>
      <c r="N198" s="710"/>
      <c r="O198" s="1003">
        <f t="shared" si="38"/>
        <v>0</v>
      </c>
      <c r="P198" s="1049"/>
      <c r="Q198" s="1043"/>
    </row>
    <row r="199" spans="1:17" hidden="1" x14ac:dyDescent="0.2">
      <c r="A199" s="748" t="s">
        <v>1015</v>
      </c>
      <c r="B199" s="767"/>
      <c r="C199" s="753"/>
      <c r="D199" s="702"/>
      <c r="E199" s="753"/>
      <c r="F199" s="753"/>
      <c r="G199" s="753"/>
      <c r="H199" s="701"/>
      <c r="I199" s="1011"/>
      <c r="J199" s="1026"/>
      <c r="K199" s="710"/>
      <c r="L199" s="710"/>
      <c r="M199" s="701"/>
      <c r="N199" s="710"/>
      <c r="O199" s="1003">
        <f t="shared" si="38"/>
        <v>0</v>
      </c>
      <c r="P199" s="1049"/>
      <c r="Q199" s="1043"/>
    </row>
    <row r="200" spans="1:17" hidden="1" x14ac:dyDescent="0.2">
      <c r="A200" s="748" t="s">
        <v>1016</v>
      </c>
      <c r="B200" s="767"/>
      <c r="C200" s="753"/>
      <c r="D200" s="702"/>
      <c r="E200" s="753"/>
      <c r="F200" s="753"/>
      <c r="G200" s="753"/>
      <c r="H200" s="701"/>
      <c r="I200" s="1011"/>
      <c r="J200" s="1026"/>
      <c r="K200" s="710"/>
      <c r="L200" s="710"/>
      <c r="M200" s="701"/>
      <c r="N200" s="710"/>
      <c r="O200" s="1003">
        <f t="shared" si="38"/>
        <v>0</v>
      </c>
      <c r="P200" s="1049"/>
      <c r="Q200" s="1043"/>
    </row>
    <row r="201" spans="1:17" x14ac:dyDescent="0.2">
      <c r="A201" s="748"/>
      <c r="B201" s="767"/>
      <c r="C201" s="753"/>
      <c r="D201" s="702"/>
      <c r="E201" s="753"/>
      <c r="F201" s="753"/>
      <c r="G201" s="753"/>
      <c r="H201" s="701"/>
      <c r="I201" s="1011"/>
      <c r="J201" s="1026"/>
      <c r="K201" s="710"/>
      <c r="L201" s="710"/>
      <c r="M201" s="701"/>
      <c r="N201" s="710"/>
      <c r="O201" s="1003">
        <f t="shared" si="38"/>
        <v>0</v>
      </c>
      <c r="P201" s="1049"/>
      <c r="Q201" s="1043"/>
    </row>
    <row r="202" spans="1:17" x14ac:dyDescent="0.2">
      <c r="A202" s="747" t="s">
        <v>1017</v>
      </c>
      <c r="B202" s="768"/>
      <c r="C202" s="769"/>
      <c r="D202" s="770"/>
      <c r="E202" s="769"/>
      <c r="F202" s="769"/>
      <c r="G202" s="769"/>
      <c r="H202" s="771"/>
      <c r="I202" s="1012"/>
      <c r="J202" s="1028"/>
      <c r="K202" s="772"/>
      <c r="L202" s="772"/>
      <c r="M202" s="771"/>
      <c r="N202" s="772"/>
      <c r="O202" s="1014"/>
      <c r="P202" s="1049"/>
      <c r="Q202" s="1043"/>
    </row>
    <row r="203" spans="1:17" x14ac:dyDescent="0.2">
      <c r="A203" s="748" t="s">
        <v>1018</v>
      </c>
      <c r="B203" s="767"/>
      <c r="C203" s="753"/>
      <c r="D203" s="702">
        <v>1000</v>
      </c>
      <c r="E203" s="753"/>
      <c r="F203" s="753"/>
      <c r="G203" s="753"/>
      <c r="H203" s="701">
        <v>270</v>
      </c>
      <c r="I203" s="1011">
        <f t="shared" ref="I203:I216" si="39">SUM(B203:H203)</f>
        <v>1270</v>
      </c>
      <c r="J203" s="1026">
        <v>1270</v>
      </c>
      <c r="K203" s="710"/>
      <c r="L203" s="710"/>
      <c r="M203" s="701"/>
      <c r="N203" s="710"/>
      <c r="O203" s="1003">
        <f t="shared" si="38"/>
        <v>0</v>
      </c>
      <c r="P203" s="1049"/>
      <c r="Q203" s="1043"/>
    </row>
    <row r="204" spans="1:17" x14ac:dyDescent="0.2">
      <c r="A204" s="748" t="s">
        <v>1019</v>
      </c>
      <c r="B204" s="767"/>
      <c r="C204" s="753"/>
      <c r="D204" s="702"/>
      <c r="E204" s="753">
        <v>1024</v>
      </c>
      <c r="F204" s="753"/>
      <c r="G204" s="753"/>
      <c r="H204" s="701">
        <v>276</v>
      </c>
      <c r="I204" s="1011">
        <f t="shared" si="39"/>
        <v>1300</v>
      </c>
      <c r="J204" s="1026">
        <v>1300</v>
      </c>
      <c r="K204" s="710"/>
      <c r="L204" s="710"/>
      <c r="M204" s="701"/>
      <c r="N204" s="710"/>
      <c r="O204" s="1003"/>
      <c r="P204" s="1049"/>
      <c r="Q204" s="1043"/>
    </row>
    <row r="205" spans="1:17" x14ac:dyDescent="0.2">
      <c r="A205" s="748" t="s">
        <v>1020</v>
      </c>
      <c r="B205" s="767"/>
      <c r="C205" s="753"/>
      <c r="D205" s="702"/>
      <c r="E205" s="753">
        <v>472</v>
      </c>
      <c r="F205" s="753"/>
      <c r="G205" s="753"/>
      <c r="H205" s="701">
        <v>128</v>
      </c>
      <c r="I205" s="1011">
        <f t="shared" si="39"/>
        <v>600</v>
      </c>
      <c r="J205" s="1026">
        <v>600</v>
      </c>
      <c r="K205" s="710"/>
      <c r="L205" s="710"/>
      <c r="M205" s="701"/>
      <c r="N205" s="710"/>
      <c r="O205" s="1003"/>
      <c r="P205" s="1049"/>
      <c r="Q205" s="1043"/>
    </row>
    <row r="206" spans="1:17" x14ac:dyDescent="0.2">
      <c r="A206" s="748" t="s">
        <v>1021</v>
      </c>
      <c r="B206" s="767"/>
      <c r="C206" s="753"/>
      <c r="D206" s="702"/>
      <c r="E206" s="753">
        <v>394</v>
      </c>
      <c r="F206" s="753"/>
      <c r="G206" s="753"/>
      <c r="H206" s="701">
        <v>106</v>
      </c>
      <c r="I206" s="1011">
        <f t="shared" si="39"/>
        <v>500</v>
      </c>
      <c r="J206" s="1026">
        <v>500</v>
      </c>
      <c r="K206" s="710"/>
      <c r="L206" s="710"/>
      <c r="M206" s="701"/>
      <c r="N206" s="710"/>
      <c r="O206" s="1003"/>
      <c r="P206" s="1049"/>
      <c r="Q206" s="1043"/>
    </row>
    <row r="207" spans="1:17" x14ac:dyDescent="0.2">
      <c r="A207" s="748" t="s">
        <v>1022</v>
      </c>
      <c r="B207" s="767"/>
      <c r="C207" s="753"/>
      <c r="D207" s="702"/>
      <c r="E207" s="753"/>
      <c r="F207" s="753"/>
      <c r="G207" s="753"/>
      <c r="H207" s="701"/>
      <c r="I207" s="1011">
        <f t="shared" si="39"/>
        <v>0</v>
      </c>
      <c r="J207" s="1026"/>
      <c r="K207" s="710"/>
      <c r="L207" s="710"/>
      <c r="M207" s="701"/>
      <c r="N207" s="710"/>
      <c r="O207" s="1003"/>
      <c r="P207" s="1049"/>
      <c r="Q207" s="1043"/>
    </row>
    <row r="208" spans="1:17" x14ac:dyDescent="0.2">
      <c r="A208" s="748" t="s">
        <v>1023</v>
      </c>
      <c r="B208" s="767"/>
      <c r="C208" s="753"/>
      <c r="D208" s="702"/>
      <c r="E208" s="753">
        <v>866</v>
      </c>
      <c r="F208" s="753"/>
      <c r="G208" s="753"/>
      <c r="H208" s="701">
        <v>234</v>
      </c>
      <c r="I208" s="1011">
        <f t="shared" si="39"/>
        <v>1100</v>
      </c>
      <c r="J208" s="1026">
        <v>1100</v>
      </c>
      <c r="K208" s="710"/>
      <c r="L208" s="710"/>
      <c r="M208" s="701"/>
      <c r="N208" s="710"/>
      <c r="O208" s="1003">
        <f t="shared" si="38"/>
        <v>0</v>
      </c>
      <c r="P208" s="1049"/>
      <c r="Q208" s="1043"/>
    </row>
    <row r="209" spans="1:17" x14ac:dyDescent="0.2">
      <c r="A209" s="748" t="s">
        <v>1024</v>
      </c>
      <c r="B209" s="767"/>
      <c r="C209" s="753"/>
      <c r="D209" s="702"/>
      <c r="E209" s="753">
        <v>315</v>
      </c>
      <c r="F209" s="753"/>
      <c r="G209" s="753"/>
      <c r="H209" s="701">
        <v>85</v>
      </c>
      <c r="I209" s="1011">
        <f t="shared" si="39"/>
        <v>400</v>
      </c>
      <c r="J209" s="1026">
        <v>400</v>
      </c>
      <c r="K209" s="710"/>
      <c r="L209" s="710"/>
      <c r="M209" s="701"/>
      <c r="N209" s="710"/>
      <c r="O209" s="1003">
        <f t="shared" si="38"/>
        <v>0</v>
      </c>
      <c r="P209" s="1049"/>
      <c r="Q209" s="1043"/>
    </row>
    <row r="210" spans="1:17" x14ac:dyDescent="0.2">
      <c r="A210" s="748" t="s">
        <v>1025</v>
      </c>
      <c r="B210" s="767"/>
      <c r="C210" s="753"/>
      <c r="D210" s="702"/>
      <c r="E210" s="753">
        <v>615</v>
      </c>
      <c r="F210" s="753"/>
      <c r="G210" s="753"/>
      <c r="H210" s="701">
        <v>166</v>
      </c>
      <c r="I210" s="1011">
        <f t="shared" si="39"/>
        <v>781</v>
      </c>
      <c r="J210" s="1026">
        <v>781</v>
      </c>
      <c r="K210" s="710"/>
      <c r="L210" s="710"/>
      <c r="M210" s="701"/>
      <c r="N210" s="710"/>
      <c r="O210" s="1003">
        <f t="shared" si="38"/>
        <v>0</v>
      </c>
      <c r="P210" s="1049"/>
      <c r="Q210" s="1043"/>
    </row>
    <row r="211" spans="1:17" x14ac:dyDescent="0.2">
      <c r="A211" s="748" t="s">
        <v>1026</v>
      </c>
      <c r="B211" s="767"/>
      <c r="C211" s="753"/>
      <c r="D211" s="702"/>
      <c r="E211" s="753"/>
      <c r="F211" s="753"/>
      <c r="G211" s="753"/>
      <c r="H211" s="701"/>
      <c r="I211" s="1011">
        <f t="shared" si="39"/>
        <v>0</v>
      </c>
      <c r="J211" s="1026">
        <v>0</v>
      </c>
      <c r="K211" s="710"/>
      <c r="L211" s="710"/>
      <c r="M211" s="701"/>
      <c r="N211" s="710"/>
      <c r="O211" s="1003"/>
      <c r="P211" s="1049"/>
      <c r="Q211" s="1043"/>
    </row>
    <row r="212" spans="1:17" x14ac:dyDescent="0.2">
      <c r="A212" s="748" t="s">
        <v>1027</v>
      </c>
      <c r="B212" s="767"/>
      <c r="C212" s="753"/>
      <c r="D212" s="702"/>
      <c r="E212" s="753">
        <v>213</v>
      </c>
      <c r="F212" s="753"/>
      <c r="G212" s="753"/>
      <c r="H212" s="701">
        <v>58</v>
      </c>
      <c r="I212" s="1011">
        <f t="shared" si="39"/>
        <v>271</v>
      </c>
      <c r="J212" s="1026">
        <v>271</v>
      </c>
      <c r="K212" s="710"/>
      <c r="L212" s="710"/>
      <c r="M212" s="701"/>
      <c r="N212" s="710"/>
      <c r="O212" s="1003"/>
      <c r="P212" s="1049"/>
      <c r="Q212" s="1043"/>
    </row>
    <row r="213" spans="1:17" x14ac:dyDescent="0.2">
      <c r="A213" s="748" t="s">
        <v>1028</v>
      </c>
      <c r="B213" s="767"/>
      <c r="C213" s="753"/>
      <c r="D213" s="702"/>
      <c r="E213" s="753">
        <v>268</v>
      </c>
      <c r="F213" s="753"/>
      <c r="G213" s="753"/>
      <c r="H213" s="701">
        <v>72</v>
      </c>
      <c r="I213" s="1011">
        <f t="shared" si="39"/>
        <v>340</v>
      </c>
      <c r="J213" s="1026">
        <v>340</v>
      </c>
      <c r="K213" s="710"/>
      <c r="L213" s="710"/>
      <c r="M213" s="701"/>
      <c r="N213" s="710"/>
      <c r="O213" s="1003"/>
      <c r="P213" s="1049"/>
      <c r="Q213" s="1043"/>
    </row>
    <row r="214" spans="1:17" x14ac:dyDescent="0.2">
      <c r="A214" s="748" t="s">
        <v>1029</v>
      </c>
      <c r="B214" s="767"/>
      <c r="C214" s="753"/>
      <c r="D214" s="702"/>
      <c r="E214" s="753">
        <v>235</v>
      </c>
      <c r="F214" s="753"/>
      <c r="G214" s="753"/>
      <c r="H214" s="701">
        <v>64</v>
      </c>
      <c r="I214" s="1011">
        <f t="shared" si="39"/>
        <v>299</v>
      </c>
      <c r="J214" s="1026">
        <v>299</v>
      </c>
      <c r="K214" s="710"/>
      <c r="L214" s="710"/>
      <c r="M214" s="701"/>
      <c r="N214" s="710"/>
      <c r="O214" s="1003"/>
      <c r="P214" s="1049"/>
      <c r="Q214" s="1043"/>
    </row>
    <row r="215" spans="1:17" x14ac:dyDescent="0.2">
      <c r="A215" s="748" t="s">
        <v>1030</v>
      </c>
      <c r="B215" s="767"/>
      <c r="C215" s="753"/>
      <c r="D215" s="702"/>
      <c r="E215" s="753">
        <v>213</v>
      </c>
      <c r="F215" s="753"/>
      <c r="G215" s="753"/>
      <c r="H215" s="701">
        <v>57</v>
      </c>
      <c r="I215" s="1011">
        <f t="shared" si="39"/>
        <v>270</v>
      </c>
      <c r="J215" s="1026">
        <v>270</v>
      </c>
      <c r="K215" s="710"/>
      <c r="L215" s="710"/>
      <c r="M215" s="701"/>
      <c r="N215" s="710"/>
      <c r="O215" s="1003"/>
      <c r="P215" s="1049"/>
      <c r="Q215" s="1043"/>
    </row>
    <row r="216" spans="1:17" ht="13.5" thickBot="1" x14ac:dyDescent="0.25">
      <c r="A216" s="748" t="s">
        <v>1031</v>
      </c>
      <c r="B216" s="767"/>
      <c r="C216" s="753"/>
      <c r="D216" s="702"/>
      <c r="E216" s="753">
        <v>3153</v>
      </c>
      <c r="F216" s="753"/>
      <c r="G216" s="753"/>
      <c r="H216" s="701">
        <v>850</v>
      </c>
      <c r="I216" s="1011">
        <f t="shared" si="39"/>
        <v>4003</v>
      </c>
      <c r="J216" s="1026">
        <v>4003</v>
      </c>
      <c r="K216" s="710"/>
      <c r="L216" s="710"/>
      <c r="M216" s="701"/>
      <c r="N216" s="710"/>
      <c r="O216" s="1003">
        <f t="shared" si="38"/>
        <v>0</v>
      </c>
      <c r="P216" s="1049"/>
      <c r="Q216" s="1043"/>
    </row>
    <row r="217" spans="1:17" s="777" customFormat="1" ht="30.75" customHeight="1" thickTop="1" x14ac:dyDescent="0.25">
      <c r="A217" s="774" t="s">
        <v>1032</v>
      </c>
      <c r="B217" s="775">
        <f t="shared" ref="B217:H217" si="40">SUM(B218:B237)</f>
        <v>0</v>
      </c>
      <c r="C217" s="775">
        <f t="shared" si="40"/>
        <v>0</v>
      </c>
      <c r="D217" s="775">
        <f t="shared" si="40"/>
        <v>591</v>
      </c>
      <c r="E217" s="775">
        <f t="shared" si="40"/>
        <v>5647</v>
      </c>
      <c r="F217" s="775">
        <f t="shared" si="40"/>
        <v>0</v>
      </c>
      <c r="G217" s="775">
        <f t="shared" si="40"/>
        <v>0</v>
      </c>
      <c r="H217" s="775">
        <f t="shared" si="40"/>
        <v>1721</v>
      </c>
      <c r="I217" s="1013">
        <f t="shared" si="26"/>
        <v>7959</v>
      </c>
      <c r="J217" s="1029">
        <f>SUM(J218:J237)</f>
        <v>7959</v>
      </c>
      <c r="K217" s="776">
        <f>SUM(K218:K237)</f>
        <v>37638</v>
      </c>
      <c r="L217" s="776">
        <f>SUM(L218:L237)</f>
        <v>0</v>
      </c>
      <c r="M217" s="776">
        <f>SUM(M218:M237)</f>
        <v>0</v>
      </c>
      <c r="N217" s="776">
        <f>SUM(N218:N237)</f>
        <v>10162</v>
      </c>
      <c r="O217" s="1013">
        <f t="shared" si="38"/>
        <v>47800</v>
      </c>
      <c r="P217" s="1029">
        <f>SUM(P218:P237)</f>
        <v>47800</v>
      </c>
      <c r="Q217" s="1046"/>
    </row>
    <row r="218" spans="1:17" s="777" customFormat="1" x14ac:dyDescent="0.2">
      <c r="A218" s="747" t="s">
        <v>1033</v>
      </c>
      <c r="B218" s="778"/>
      <c r="C218" s="779"/>
      <c r="D218" s="779"/>
      <c r="E218" s="779"/>
      <c r="F218" s="779"/>
      <c r="G218" s="779"/>
      <c r="H218" s="779"/>
      <c r="I218" s="1014"/>
      <c r="J218" s="1030"/>
      <c r="K218" s="772"/>
      <c r="L218" s="772"/>
      <c r="M218" s="772"/>
      <c r="N218" s="772"/>
      <c r="O218" s="1014"/>
      <c r="P218" s="1050"/>
      <c r="Q218" s="1046"/>
    </row>
    <row r="219" spans="1:17" s="777" customFormat="1" ht="38.25" x14ac:dyDescent="0.2">
      <c r="A219" s="748" t="s">
        <v>1034</v>
      </c>
      <c r="B219" s="695"/>
      <c r="C219" s="696"/>
      <c r="D219" s="696"/>
      <c r="E219" s="696"/>
      <c r="F219" s="696"/>
      <c r="G219" s="696"/>
      <c r="H219" s="696"/>
      <c r="I219" s="1003"/>
      <c r="J219" s="1020"/>
      <c r="K219" s="710">
        <v>28346</v>
      </c>
      <c r="L219" s="710"/>
      <c r="M219" s="710"/>
      <c r="N219" s="710">
        <v>7654</v>
      </c>
      <c r="O219" s="1037">
        <f t="shared" ref="O219:O256" si="41">SUM(K219:N219)</f>
        <v>36000</v>
      </c>
      <c r="P219" s="1049">
        <v>36000</v>
      </c>
      <c r="Q219" s="1046"/>
    </row>
    <row r="220" spans="1:17" s="777" customFormat="1" ht="25.5" x14ac:dyDescent="0.2">
      <c r="A220" s="748" t="s">
        <v>1035</v>
      </c>
      <c r="B220" s="695"/>
      <c r="C220" s="696"/>
      <c r="D220" s="696"/>
      <c r="E220" s="696"/>
      <c r="F220" s="696"/>
      <c r="G220" s="696"/>
      <c r="H220" s="696"/>
      <c r="I220" s="1003"/>
      <c r="J220" s="1020"/>
      <c r="K220" s="710"/>
      <c r="L220" s="710"/>
      <c r="M220" s="710"/>
      <c r="N220" s="710"/>
      <c r="O220" s="1003">
        <f t="shared" si="41"/>
        <v>0</v>
      </c>
      <c r="P220" s="1049"/>
      <c r="Q220" s="1046"/>
    </row>
    <row r="221" spans="1:17" s="777" customFormat="1" hidden="1" x14ac:dyDescent="0.2">
      <c r="A221" s="748" t="s">
        <v>1036</v>
      </c>
      <c r="B221" s="695"/>
      <c r="C221" s="696"/>
      <c r="D221" s="696"/>
      <c r="E221" s="696"/>
      <c r="F221" s="696"/>
      <c r="G221" s="696"/>
      <c r="H221" s="696"/>
      <c r="I221" s="1003"/>
      <c r="J221" s="1020"/>
      <c r="K221" s="710"/>
      <c r="L221" s="710"/>
      <c r="M221" s="710"/>
      <c r="N221" s="710"/>
      <c r="O221" s="1003">
        <f t="shared" si="41"/>
        <v>0</v>
      </c>
      <c r="P221" s="1049"/>
      <c r="Q221" s="1046"/>
    </row>
    <row r="222" spans="1:17" s="777" customFormat="1" x14ac:dyDescent="0.2">
      <c r="A222" s="773" t="s">
        <v>1010</v>
      </c>
      <c r="B222" s="778"/>
      <c r="C222" s="779"/>
      <c r="D222" s="779"/>
      <c r="E222" s="779"/>
      <c r="F222" s="779"/>
      <c r="G222" s="779"/>
      <c r="H222" s="779"/>
      <c r="I222" s="1014"/>
      <c r="J222" s="1030"/>
      <c r="K222" s="772"/>
      <c r="L222" s="772"/>
      <c r="M222" s="772"/>
      <c r="N222" s="772"/>
      <c r="O222" s="1014">
        <f t="shared" si="41"/>
        <v>0</v>
      </c>
      <c r="P222" s="1049"/>
      <c r="Q222" s="1046"/>
    </row>
    <row r="223" spans="1:17" s="777" customFormat="1" x14ac:dyDescent="0.2">
      <c r="A223" s="748" t="s">
        <v>1037</v>
      </c>
      <c r="B223" s="695"/>
      <c r="C223" s="696"/>
      <c r="D223" s="696"/>
      <c r="E223" s="696"/>
      <c r="F223" s="696"/>
      <c r="G223" s="696"/>
      <c r="H223" s="696"/>
      <c r="I223" s="1003"/>
      <c r="J223" s="1020"/>
      <c r="K223" s="710">
        <v>630</v>
      </c>
      <c r="L223" s="710"/>
      <c r="M223" s="710"/>
      <c r="N223" s="710">
        <v>170</v>
      </c>
      <c r="O223" s="1003">
        <v>800</v>
      </c>
      <c r="P223" s="1049">
        <v>800</v>
      </c>
      <c r="Q223" s="1046"/>
    </row>
    <row r="224" spans="1:17" s="777" customFormat="1" x14ac:dyDescent="0.2">
      <c r="A224" s="748" t="s">
        <v>1038</v>
      </c>
      <c r="B224" s="695"/>
      <c r="C224" s="696"/>
      <c r="D224" s="696"/>
      <c r="E224" s="696"/>
      <c r="F224" s="696"/>
      <c r="G224" s="696"/>
      <c r="H224" s="696"/>
      <c r="I224" s="1003"/>
      <c r="J224" s="1020"/>
      <c r="K224" s="710">
        <v>4331</v>
      </c>
      <c r="L224" s="710"/>
      <c r="M224" s="710"/>
      <c r="N224" s="710">
        <v>1169</v>
      </c>
      <c r="O224" s="1003">
        <v>5500</v>
      </c>
      <c r="P224" s="1049">
        <v>5500</v>
      </c>
      <c r="Q224" s="1046"/>
    </row>
    <row r="225" spans="1:17" s="777" customFormat="1" hidden="1" x14ac:dyDescent="0.2">
      <c r="A225" s="748" t="s">
        <v>1039</v>
      </c>
      <c r="B225" s="695"/>
      <c r="C225" s="696"/>
      <c r="D225" s="696"/>
      <c r="E225" s="696"/>
      <c r="F225" s="696"/>
      <c r="G225" s="696"/>
      <c r="H225" s="696"/>
      <c r="I225" s="1003"/>
      <c r="J225" s="1020"/>
      <c r="K225" s="710">
        <v>0</v>
      </c>
      <c r="L225" s="710"/>
      <c r="M225" s="710"/>
      <c r="N225" s="710"/>
      <c r="O225" s="1003"/>
      <c r="P225" s="1049"/>
      <c r="Q225" s="1046"/>
    </row>
    <row r="226" spans="1:17" s="777" customFormat="1" x14ac:dyDescent="0.2">
      <c r="A226" s="748" t="s">
        <v>1040</v>
      </c>
      <c r="B226" s="695"/>
      <c r="C226" s="696"/>
      <c r="D226" s="696"/>
      <c r="E226" s="696"/>
      <c r="F226" s="696"/>
      <c r="G226" s="696"/>
      <c r="H226" s="696"/>
      <c r="I226" s="1003"/>
      <c r="J226" s="1020"/>
      <c r="K226" s="710">
        <v>1575</v>
      </c>
      <c r="L226" s="710"/>
      <c r="M226" s="710"/>
      <c r="N226" s="710">
        <v>425</v>
      </c>
      <c r="O226" s="1003">
        <f t="shared" si="41"/>
        <v>2000</v>
      </c>
      <c r="P226" s="1049">
        <v>2000</v>
      </c>
      <c r="Q226" s="1046"/>
    </row>
    <row r="227" spans="1:17" s="777" customFormat="1" x14ac:dyDescent="0.2">
      <c r="A227" s="747" t="s">
        <v>1041</v>
      </c>
      <c r="B227" s="778"/>
      <c r="C227" s="779"/>
      <c r="D227" s="779"/>
      <c r="E227" s="779"/>
      <c r="F227" s="779"/>
      <c r="G227" s="779"/>
      <c r="H227" s="779"/>
      <c r="I227" s="1014"/>
      <c r="J227" s="1030"/>
      <c r="K227" s="780"/>
      <c r="L227" s="780"/>
      <c r="M227" s="779"/>
      <c r="N227" s="780"/>
      <c r="O227" s="1014"/>
      <c r="P227" s="1049"/>
      <c r="Q227" s="1046"/>
    </row>
    <row r="228" spans="1:17" s="777" customFormat="1" x14ac:dyDescent="0.2">
      <c r="A228" s="748" t="s">
        <v>1042</v>
      </c>
      <c r="B228" s="695"/>
      <c r="C228" s="696"/>
      <c r="D228" s="696"/>
      <c r="E228" s="696"/>
      <c r="F228" s="696"/>
      <c r="G228" s="696"/>
      <c r="H228" s="696"/>
      <c r="I228" s="1003"/>
      <c r="J228" s="1020"/>
      <c r="K228" s="710">
        <v>2756</v>
      </c>
      <c r="L228" s="710"/>
      <c r="M228" s="710"/>
      <c r="N228" s="710">
        <v>744</v>
      </c>
      <c r="O228" s="1003">
        <f>SUM(K228:N228)</f>
        <v>3500</v>
      </c>
      <c r="P228" s="1049">
        <v>3500</v>
      </c>
      <c r="Q228" s="1046"/>
    </row>
    <row r="229" spans="1:17" s="777" customFormat="1" hidden="1" x14ac:dyDescent="0.2">
      <c r="A229" s="748" t="s">
        <v>1043</v>
      </c>
      <c r="B229" s="695"/>
      <c r="C229" s="696"/>
      <c r="D229" s="696"/>
      <c r="E229" s="696"/>
      <c r="F229" s="696"/>
      <c r="G229" s="696"/>
      <c r="H229" s="696"/>
      <c r="I229" s="1003"/>
      <c r="J229" s="1020"/>
      <c r="K229" s="710"/>
      <c r="L229" s="710"/>
      <c r="M229" s="710"/>
      <c r="N229" s="710"/>
      <c r="O229" s="1003">
        <f t="shared" si="41"/>
        <v>0</v>
      </c>
      <c r="P229" s="1049"/>
      <c r="Q229" s="1046"/>
    </row>
    <row r="230" spans="1:17" s="777" customFormat="1" hidden="1" x14ac:dyDescent="0.2">
      <c r="A230" s="748"/>
      <c r="B230" s="695"/>
      <c r="C230" s="696"/>
      <c r="D230" s="696"/>
      <c r="E230" s="696"/>
      <c r="F230" s="696"/>
      <c r="G230" s="696"/>
      <c r="H230" s="696"/>
      <c r="I230" s="1003"/>
      <c r="J230" s="1020"/>
      <c r="K230" s="710"/>
      <c r="L230" s="710"/>
      <c r="M230" s="710"/>
      <c r="N230" s="710"/>
      <c r="O230" s="1003">
        <f t="shared" si="41"/>
        <v>0</v>
      </c>
      <c r="P230" s="1049"/>
      <c r="Q230" s="1046"/>
    </row>
    <row r="231" spans="1:17" s="777" customFormat="1" x14ac:dyDescent="0.2">
      <c r="A231" s="747" t="s">
        <v>1017</v>
      </c>
      <c r="B231" s="778"/>
      <c r="C231" s="779"/>
      <c r="D231" s="779"/>
      <c r="E231" s="779"/>
      <c r="F231" s="779"/>
      <c r="G231" s="779"/>
      <c r="H231" s="779"/>
      <c r="I231" s="1014"/>
      <c r="J231" s="1030"/>
      <c r="K231" s="772"/>
      <c r="L231" s="772"/>
      <c r="M231" s="772"/>
      <c r="N231" s="772"/>
      <c r="O231" s="1014"/>
      <c r="P231" s="1049"/>
      <c r="Q231" s="1046"/>
    </row>
    <row r="232" spans="1:17" s="777" customFormat="1" x14ac:dyDescent="0.2">
      <c r="A232" s="748" t="s">
        <v>1044</v>
      </c>
      <c r="B232" s="710"/>
      <c r="C232" s="710"/>
      <c r="D232" s="710"/>
      <c r="E232" s="710">
        <v>252</v>
      </c>
      <c r="F232" s="710"/>
      <c r="G232" s="710"/>
      <c r="H232" s="710">
        <v>68</v>
      </c>
      <c r="I232" s="1003">
        <f t="shared" ref="I232:I237" si="42">SUM(B232:H232)</f>
        <v>320</v>
      </c>
      <c r="J232" s="1020">
        <v>320</v>
      </c>
      <c r="K232" s="710"/>
      <c r="L232" s="710"/>
      <c r="M232" s="710"/>
      <c r="N232" s="710"/>
      <c r="O232" s="1003">
        <f t="shared" si="41"/>
        <v>0</v>
      </c>
      <c r="P232" s="1049"/>
      <c r="Q232" s="1046"/>
    </row>
    <row r="233" spans="1:17" s="777" customFormat="1" x14ac:dyDescent="0.2">
      <c r="A233" s="748" t="s">
        <v>1045</v>
      </c>
      <c r="B233" s="710"/>
      <c r="C233" s="710"/>
      <c r="D233" s="710"/>
      <c r="E233" s="710">
        <v>748</v>
      </c>
      <c r="F233" s="710"/>
      <c r="G233" s="710"/>
      <c r="H233" s="710">
        <v>202</v>
      </c>
      <c r="I233" s="1003">
        <f t="shared" si="42"/>
        <v>950</v>
      </c>
      <c r="J233" s="1020">
        <v>950</v>
      </c>
      <c r="K233" s="710"/>
      <c r="L233" s="710"/>
      <c r="M233" s="710"/>
      <c r="N233" s="710"/>
      <c r="O233" s="1003">
        <f t="shared" si="41"/>
        <v>0</v>
      </c>
      <c r="P233" s="1049"/>
      <c r="Q233" s="1046"/>
    </row>
    <row r="234" spans="1:17" s="777" customFormat="1" ht="25.5" x14ac:dyDescent="0.2">
      <c r="A234" s="748" t="s">
        <v>1046</v>
      </c>
      <c r="B234" s="710"/>
      <c r="C234" s="710"/>
      <c r="D234" s="710"/>
      <c r="E234" s="710">
        <v>734</v>
      </c>
      <c r="F234" s="710"/>
      <c r="G234" s="710"/>
      <c r="H234" s="710">
        <v>236</v>
      </c>
      <c r="I234" s="1003">
        <f t="shared" si="42"/>
        <v>970</v>
      </c>
      <c r="J234" s="1020">
        <v>970</v>
      </c>
      <c r="K234" s="745"/>
      <c r="L234" s="745"/>
      <c r="M234" s="696"/>
      <c r="N234" s="745"/>
      <c r="O234" s="1003">
        <f t="shared" si="41"/>
        <v>0</v>
      </c>
      <c r="P234" s="1049"/>
      <c r="Q234" s="1046"/>
    </row>
    <row r="235" spans="1:17" x14ac:dyDescent="0.2">
      <c r="A235" s="781" t="s">
        <v>1047</v>
      </c>
      <c r="B235" s="710"/>
      <c r="C235" s="710"/>
      <c r="D235" s="710">
        <v>591</v>
      </c>
      <c r="E235" s="710"/>
      <c r="F235" s="710"/>
      <c r="G235" s="710"/>
      <c r="H235" s="710">
        <v>159</v>
      </c>
      <c r="I235" s="1003">
        <f t="shared" si="42"/>
        <v>750</v>
      </c>
      <c r="J235" s="1020">
        <v>750</v>
      </c>
      <c r="K235" s="743"/>
      <c r="O235" s="1003">
        <f t="shared" si="41"/>
        <v>0</v>
      </c>
      <c r="P235" s="1049"/>
      <c r="Q235" s="1043"/>
    </row>
    <row r="236" spans="1:17" x14ac:dyDescent="0.2">
      <c r="A236" s="748" t="s">
        <v>1048</v>
      </c>
      <c r="B236" s="710"/>
      <c r="C236" s="710"/>
      <c r="D236" s="710"/>
      <c r="E236" s="710">
        <v>3913</v>
      </c>
      <c r="F236" s="710"/>
      <c r="G236" s="710"/>
      <c r="H236" s="710">
        <v>1056</v>
      </c>
      <c r="I236" s="1003">
        <f t="shared" si="42"/>
        <v>4969</v>
      </c>
      <c r="J236" s="1020">
        <v>4969</v>
      </c>
      <c r="K236" s="710"/>
      <c r="L236" s="701"/>
      <c r="M236" s="701"/>
      <c r="N236" s="710"/>
      <c r="O236" s="1003">
        <f t="shared" si="41"/>
        <v>0</v>
      </c>
      <c r="P236" s="1049"/>
      <c r="Q236" s="1043"/>
    </row>
    <row r="237" spans="1:17" ht="13.5" thickBot="1" x14ac:dyDescent="0.25">
      <c r="A237" s="748"/>
      <c r="B237" s="710"/>
      <c r="C237" s="710"/>
      <c r="D237" s="710"/>
      <c r="E237" s="710"/>
      <c r="F237" s="710"/>
      <c r="G237" s="710"/>
      <c r="H237" s="710"/>
      <c r="I237" s="1003">
        <f t="shared" si="42"/>
        <v>0</v>
      </c>
      <c r="J237" s="1020"/>
      <c r="K237" s="710"/>
      <c r="L237" s="701"/>
      <c r="M237" s="701"/>
      <c r="N237" s="710"/>
      <c r="O237" s="1003">
        <f t="shared" si="41"/>
        <v>0</v>
      </c>
      <c r="P237" s="1049"/>
      <c r="Q237" s="1043"/>
    </row>
    <row r="238" spans="1:17" s="761" customFormat="1" ht="31.5" customHeight="1" thickTop="1" x14ac:dyDescent="0.25">
      <c r="A238" s="731" t="s">
        <v>1049</v>
      </c>
      <c r="B238" s="759">
        <f t="shared" ref="B238:H238" si="43">SUM(B239:B255)</f>
        <v>0</v>
      </c>
      <c r="C238" s="759">
        <f t="shared" si="43"/>
        <v>0</v>
      </c>
      <c r="D238" s="759">
        <f t="shared" si="43"/>
        <v>1870</v>
      </c>
      <c r="E238" s="759">
        <f t="shared" si="43"/>
        <v>2089</v>
      </c>
      <c r="F238" s="759">
        <f t="shared" si="43"/>
        <v>0</v>
      </c>
      <c r="G238" s="759">
        <f t="shared" si="43"/>
        <v>0</v>
      </c>
      <c r="H238" s="759">
        <f t="shared" si="43"/>
        <v>1068</v>
      </c>
      <c r="I238" s="1006">
        <f t="shared" si="26"/>
        <v>5027</v>
      </c>
      <c r="J238" s="1027">
        <f>SUM(J239:J255)</f>
        <v>5027</v>
      </c>
      <c r="K238" s="760">
        <f>SUM(K239:K255)</f>
        <v>5969</v>
      </c>
      <c r="L238" s="760">
        <f>SUM(L239:L255)</f>
        <v>0</v>
      </c>
      <c r="M238" s="760">
        <f>SUM(M239:M255)</f>
        <v>0</v>
      </c>
      <c r="N238" s="760">
        <f>SUM(N239:N255)</f>
        <v>1611</v>
      </c>
      <c r="O238" s="1013">
        <f t="shared" si="41"/>
        <v>7580</v>
      </c>
      <c r="P238" s="1027">
        <f>SUM(P239:P255)</f>
        <v>7580</v>
      </c>
      <c r="Q238" s="1045"/>
    </row>
    <row r="239" spans="1:17" ht="13.5" x14ac:dyDescent="0.25">
      <c r="A239" s="747" t="s">
        <v>1050</v>
      </c>
      <c r="B239" s="782"/>
      <c r="C239" s="783"/>
      <c r="D239" s="783"/>
      <c r="E239" s="784"/>
      <c r="F239" s="783"/>
      <c r="G239" s="783"/>
      <c r="H239" s="785"/>
      <c r="I239" s="1015"/>
      <c r="J239" s="1031"/>
      <c r="K239" s="786"/>
      <c r="L239" s="785"/>
      <c r="M239" s="785"/>
      <c r="N239" s="785"/>
      <c r="O239" s="1014"/>
      <c r="P239" s="1049"/>
      <c r="Q239" s="1043"/>
    </row>
    <row r="240" spans="1:17" ht="13.5" x14ac:dyDescent="0.25">
      <c r="A240" s="720" t="s">
        <v>1051</v>
      </c>
      <c r="B240" s="787"/>
      <c r="C240" s="788"/>
      <c r="D240" s="788"/>
      <c r="E240" s="702"/>
      <c r="F240" s="788"/>
      <c r="G240" s="788"/>
      <c r="H240" s="701"/>
      <c r="I240" s="1010">
        <f t="shared" ref="I240:I255" si="44">SUM(B240:H240)</f>
        <v>0</v>
      </c>
      <c r="J240" s="1020"/>
      <c r="K240" s="710">
        <v>1969</v>
      </c>
      <c r="L240" s="701"/>
      <c r="M240" s="701"/>
      <c r="N240" s="701">
        <v>531</v>
      </c>
      <c r="O240" s="1003">
        <f t="shared" ref="O240:O255" si="45">SUM(K240:N240)</f>
        <v>2500</v>
      </c>
      <c r="P240" s="1049">
        <v>2500</v>
      </c>
      <c r="Q240" s="1043"/>
    </row>
    <row r="241" spans="1:17" ht="13.5" x14ac:dyDescent="0.25">
      <c r="A241" s="720" t="s">
        <v>1052</v>
      </c>
      <c r="B241" s="787"/>
      <c r="C241" s="788"/>
      <c r="D241" s="788"/>
      <c r="E241" s="702"/>
      <c r="F241" s="788"/>
      <c r="G241" s="788"/>
      <c r="H241" s="701"/>
      <c r="I241" s="1010"/>
      <c r="J241" s="1020"/>
      <c r="K241" s="710"/>
      <c r="L241" s="701"/>
      <c r="M241" s="701"/>
      <c r="N241" s="701"/>
      <c r="O241" s="1003">
        <f t="shared" si="45"/>
        <v>0</v>
      </c>
      <c r="P241" s="1049"/>
      <c r="Q241" s="1043"/>
    </row>
    <row r="242" spans="1:17" ht="13.5" hidden="1" x14ac:dyDescent="0.25">
      <c r="A242" s="720" t="s">
        <v>1053</v>
      </c>
      <c r="B242" s="787"/>
      <c r="C242" s="788"/>
      <c r="D242" s="788"/>
      <c r="E242" s="702"/>
      <c r="F242" s="788"/>
      <c r="G242" s="788"/>
      <c r="H242" s="701"/>
      <c r="I242" s="1010"/>
      <c r="J242" s="1020"/>
      <c r="K242" s="710"/>
      <c r="L242" s="701"/>
      <c r="M242" s="701"/>
      <c r="N242" s="701"/>
      <c r="O242" s="1003">
        <f t="shared" si="45"/>
        <v>0</v>
      </c>
      <c r="P242" s="1049"/>
      <c r="Q242" s="1043"/>
    </row>
    <row r="243" spans="1:17" ht="13.5" hidden="1" x14ac:dyDescent="0.25">
      <c r="A243" s="720" t="s">
        <v>1054</v>
      </c>
      <c r="B243" s="787"/>
      <c r="C243" s="788"/>
      <c r="D243" s="788"/>
      <c r="E243" s="702"/>
      <c r="F243" s="788"/>
      <c r="G243" s="788"/>
      <c r="H243" s="701"/>
      <c r="I243" s="1010"/>
      <c r="J243" s="1020"/>
      <c r="K243" s="710"/>
      <c r="L243" s="701"/>
      <c r="M243" s="701"/>
      <c r="N243" s="701"/>
      <c r="O243" s="1003">
        <f t="shared" si="45"/>
        <v>0</v>
      </c>
      <c r="P243" s="1049"/>
      <c r="Q243" s="1043"/>
    </row>
    <row r="244" spans="1:17" ht="13.5" x14ac:dyDescent="0.25">
      <c r="A244" s="747" t="s">
        <v>1055</v>
      </c>
      <c r="B244" s="789"/>
      <c r="C244" s="790"/>
      <c r="D244" s="790"/>
      <c r="E244" s="770"/>
      <c r="F244" s="790"/>
      <c r="G244" s="790"/>
      <c r="H244" s="771"/>
      <c r="I244" s="1015"/>
      <c r="J244" s="1030"/>
      <c r="K244" s="772"/>
      <c r="L244" s="771"/>
      <c r="M244" s="771"/>
      <c r="N244" s="771"/>
      <c r="O244" s="1014"/>
      <c r="P244" s="1049"/>
      <c r="Q244" s="1043"/>
    </row>
    <row r="245" spans="1:17" ht="13.5" x14ac:dyDescent="0.25">
      <c r="A245" s="720" t="s">
        <v>1056</v>
      </c>
      <c r="B245" s="787"/>
      <c r="C245" s="788"/>
      <c r="D245" s="788"/>
      <c r="E245" s="702"/>
      <c r="F245" s="788"/>
      <c r="G245" s="788"/>
      <c r="H245" s="701"/>
      <c r="I245" s="1010">
        <f t="shared" si="44"/>
        <v>0</v>
      </c>
      <c r="J245" s="1020"/>
      <c r="K245" s="710">
        <v>4000</v>
      </c>
      <c r="L245" s="701"/>
      <c r="M245" s="701"/>
      <c r="N245" s="701">
        <v>1080</v>
      </c>
      <c r="O245" s="1003">
        <f t="shared" si="45"/>
        <v>5080</v>
      </c>
      <c r="P245" s="1049">
        <v>5080</v>
      </c>
      <c r="Q245" s="1043"/>
    </row>
    <row r="246" spans="1:17" ht="13.5" x14ac:dyDescent="0.25">
      <c r="A246" s="720" t="s">
        <v>1057</v>
      </c>
      <c r="B246" s="787"/>
      <c r="C246" s="788"/>
      <c r="D246" s="788"/>
      <c r="E246" s="702"/>
      <c r="F246" s="788"/>
      <c r="G246" s="788"/>
      <c r="H246" s="701"/>
      <c r="I246" s="1010">
        <f t="shared" si="44"/>
        <v>0</v>
      </c>
      <c r="J246" s="1020"/>
      <c r="K246" s="710"/>
      <c r="L246" s="701"/>
      <c r="M246" s="701"/>
      <c r="N246" s="701"/>
      <c r="O246" s="1003">
        <f t="shared" si="45"/>
        <v>0</v>
      </c>
      <c r="P246" s="1049"/>
      <c r="Q246" s="1043"/>
    </row>
    <row r="247" spans="1:17" ht="13.5" hidden="1" x14ac:dyDescent="0.25">
      <c r="A247" s="747" t="s">
        <v>1058</v>
      </c>
      <c r="B247" s="789"/>
      <c r="C247" s="790"/>
      <c r="D247" s="790"/>
      <c r="E247" s="770"/>
      <c r="F247" s="790"/>
      <c r="G247" s="790"/>
      <c r="H247" s="771"/>
      <c r="I247" s="1015"/>
      <c r="J247" s="1030"/>
      <c r="K247" s="772"/>
      <c r="L247" s="771"/>
      <c r="M247" s="771"/>
      <c r="N247" s="771"/>
      <c r="O247" s="1014"/>
      <c r="P247" s="1049"/>
      <c r="Q247" s="1043"/>
    </row>
    <row r="248" spans="1:17" ht="13.5" hidden="1" x14ac:dyDescent="0.25">
      <c r="A248" s="720" t="s">
        <v>1059</v>
      </c>
      <c r="B248" s="787"/>
      <c r="C248" s="788"/>
      <c r="D248" s="788"/>
      <c r="E248" s="702"/>
      <c r="F248" s="788"/>
      <c r="G248" s="788"/>
      <c r="H248" s="701"/>
      <c r="I248" s="1010">
        <f t="shared" si="44"/>
        <v>0</v>
      </c>
      <c r="J248" s="1020"/>
      <c r="K248" s="710"/>
      <c r="L248" s="701"/>
      <c r="M248" s="701"/>
      <c r="N248" s="701"/>
      <c r="O248" s="1003">
        <f t="shared" si="45"/>
        <v>0</v>
      </c>
      <c r="P248" s="1049"/>
      <c r="Q248" s="1043"/>
    </row>
    <row r="249" spans="1:17" ht="13.5" hidden="1" x14ac:dyDescent="0.25">
      <c r="A249" s="758" t="s">
        <v>1060</v>
      </c>
      <c r="B249" s="789"/>
      <c r="C249" s="790"/>
      <c r="D249" s="790"/>
      <c r="E249" s="770"/>
      <c r="F249" s="790"/>
      <c r="G249" s="790"/>
      <c r="H249" s="771"/>
      <c r="I249" s="1015"/>
      <c r="J249" s="1030"/>
      <c r="K249" s="772"/>
      <c r="L249" s="771"/>
      <c r="M249" s="771"/>
      <c r="N249" s="771"/>
      <c r="O249" s="1014"/>
      <c r="P249" s="1049"/>
      <c r="Q249" s="1043"/>
    </row>
    <row r="250" spans="1:17" ht="13.5" hidden="1" x14ac:dyDescent="0.25">
      <c r="A250" s="720" t="s">
        <v>1061</v>
      </c>
      <c r="B250" s="787"/>
      <c r="C250" s="788"/>
      <c r="D250" s="788"/>
      <c r="E250" s="702"/>
      <c r="F250" s="788"/>
      <c r="G250" s="788"/>
      <c r="H250" s="701"/>
      <c r="I250" s="1010">
        <f t="shared" si="44"/>
        <v>0</v>
      </c>
      <c r="J250" s="1020"/>
      <c r="K250" s="710"/>
      <c r="L250" s="701"/>
      <c r="M250" s="701"/>
      <c r="N250" s="701"/>
      <c r="O250" s="1003">
        <f t="shared" si="45"/>
        <v>0</v>
      </c>
      <c r="P250" s="1049"/>
      <c r="Q250" s="1043"/>
    </row>
    <row r="251" spans="1:17" ht="13.5" hidden="1" x14ac:dyDescent="0.25">
      <c r="A251" s="720" t="s">
        <v>1062</v>
      </c>
      <c r="B251" s="787"/>
      <c r="C251" s="788"/>
      <c r="D251" s="788"/>
      <c r="E251" s="702"/>
      <c r="F251" s="788"/>
      <c r="G251" s="788"/>
      <c r="H251" s="701"/>
      <c r="I251" s="1010">
        <f t="shared" si="44"/>
        <v>0</v>
      </c>
      <c r="J251" s="1020"/>
      <c r="K251" s="710"/>
      <c r="L251" s="701"/>
      <c r="M251" s="701"/>
      <c r="N251" s="701"/>
      <c r="O251" s="1003">
        <f t="shared" si="45"/>
        <v>0</v>
      </c>
      <c r="P251" s="1049"/>
      <c r="Q251" s="1043"/>
    </row>
    <row r="252" spans="1:17" ht="13.5" x14ac:dyDescent="0.25">
      <c r="A252" s="747" t="s">
        <v>1017</v>
      </c>
      <c r="B252" s="789"/>
      <c r="C252" s="790"/>
      <c r="D252" s="790"/>
      <c r="E252" s="770"/>
      <c r="F252" s="790"/>
      <c r="G252" s="790"/>
      <c r="H252" s="771"/>
      <c r="I252" s="1015"/>
      <c r="J252" s="1030"/>
      <c r="K252" s="772"/>
      <c r="L252" s="771"/>
      <c r="M252" s="771"/>
      <c r="N252" s="771"/>
      <c r="O252" s="1014"/>
      <c r="P252" s="1049"/>
      <c r="Q252" s="1043"/>
    </row>
    <row r="253" spans="1:17" ht="13.5" x14ac:dyDescent="0.25">
      <c r="A253" s="750" t="s">
        <v>1063</v>
      </c>
      <c r="B253" s="787"/>
      <c r="C253" s="788"/>
      <c r="D253" s="788"/>
      <c r="E253" s="702">
        <v>394</v>
      </c>
      <c r="F253" s="788"/>
      <c r="G253" s="788"/>
      <c r="H253" s="701">
        <v>106</v>
      </c>
      <c r="I253" s="1010">
        <f t="shared" si="44"/>
        <v>500</v>
      </c>
      <c r="J253" s="1020">
        <v>500</v>
      </c>
      <c r="K253" s="710"/>
      <c r="L253" s="701"/>
      <c r="M253" s="701"/>
      <c r="N253" s="701"/>
      <c r="O253" s="1003"/>
      <c r="P253" s="1049"/>
      <c r="Q253" s="1043"/>
    </row>
    <row r="254" spans="1:17" ht="13.5" x14ac:dyDescent="0.25">
      <c r="A254" s="720" t="s">
        <v>1064</v>
      </c>
      <c r="B254" s="787"/>
      <c r="C254" s="788"/>
      <c r="D254" s="788"/>
      <c r="E254" s="702">
        <v>394</v>
      </c>
      <c r="F254" s="788"/>
      <c r="G254" s="788"/>
      <c r="H254" s="701">
        <v>106</v>
      </c>
      <c r="I254" s="1010">
        <f t="shared" si="44"/>
        <v>500</v>
      </c>
      <c r="J254" s="1020">
        <v>500</v>
      </c>
      <c r="K254" s="710"/>
      <c r="L254" s="701"/>
      <c r="M254" s="701"/>
      <c r="N254" s="701"/>
      <c r="O254" s="1003">
        <f t="shared" si="45"/>
        <v>0</v>
      </c>
      <c r="P254" s="1049"/>
      <c r="Q254" s="1043"/>
    </row>
    <row r="255" spans="1:17" ht="14.25" thickBot="1" x14ac:dyDescent="0.3">
      <c r="A255" s="720" t="s">
        <v>979</v>
      </c>
      <c r="B255" s="787"/>
      <c r="C255" s="788"/>
      <c r="D255" s="702">
        <v>1870</v>
      </c>
      <c r="E255" s="702">
        <v>1301</v>
      </c>
      <c r="F255" s="788"/>
      <c r="G255" s="788"/>
      <c r="H255" s="701">
        <v>856</v>
      </c>
      <c r="I255" s="1010">
        <f t="shared" si="44"/>
        <v>4027</v>
      </c>
      <c r="J255" s="1020">
        <v>4027</v>
      </c>
      <c r="K255" s="710"/>
      <c r="L255" s="701"/>
      <c r="M255" s="701"/>
      <c r="N255" s="701"/>
      <c r="O255" s="1003">
        <f t="shared" si="45"/>
        <v>0</v>
      </c>
      <c r="P255" s="1049"/>
      <c r="Q255" s="1043"/>
    </row>
    <row r="256" spans="1:17" s="761" customFormat="1" ht="28.35" customHeight="1" thickTop="1" x14ac:dyDescent="0.25">
      <c r="A256" s="731" t="s">
        <v>1065</v>
      </c>
      <c r="B256" s="759">
        <f t="shared" ref="B256:H256" si="46">SUM(B257:B265)</f>
        <v>0</v>
      </c>
      <c r="C256" s="759">
        <f t="shared" si="46"/>
        <v>0</v>
      </c>
      <c r="D256" s="759">
        <f t="shared" si="46"/>
        <v>0</v>
      </c>
      <c r="E256" s="759">
        <f t="shared" si="46"/>
        <v>1590</v>
      </c>
      <c r="F256" s="759">
        <f t="shared" si="46"/>
        <v>0</v>
      </c>
      <c r="G256" s="759">
        <f t="shared" si="46"/>
        <v>0</v>
      </c>
      <c r="H256" s="759">
        <f t="shared" si="46"/>
        <v>429</v>
      </c>
      <c r="I256" s="1006">
        <f t="shared" si="26"/>
        <v>2019</v>
      </c>
      <c r="J256" s="1027">
        <f>SUM(J257:J269)</f>
        <v>2019</v>
      </c>
      <c r="K256" s="760">
        <f>SUM(K257:K265)</f>
        <v>18321</v>
      </c>
      <c r="L256" s="759">
        <f>SUM(L257:L265)</f>
        <v>0</v>
      </c>
      <c r="M256" s="759">
        <f>SUM(M257:M265)</f>
        <v>0</v>
      </c>
      <c r="N256" s="759">
        <f>SUM(N257:N265)</f>
        <v>4947</v>
      </c>
      <c r="O256" s="1013">
        <f t="shared" si="41"/>
        <v>23268</v>
      </c>
      <c r="P256" s="1027">
        <f>SUM(P257:P269)</f>
        <v>23268</v>
      </c>
      <c r="Q256" s="1045"/>
    </row>
    <row r="257" spans="1:17" s="761" customFormat="1" ht="25.5" x14ac:dyDescent="0.2">
      <c r="A257" s="720" t="s">
        <v>1066</v>
      </c>
      <c r="B257" s="765"/>
      <c r="C257" s="749"/>
      <c r="D257" s="749"/>
      <c r="E257" s="749"/>
      <c r="F257" s="749"/>
      <c r="G257" s="749"/>
      <c r="H257" s="749"/>
      <c r="I257" s="1011">
        <f>SUM(B257:H257)</f>
        <v>0</v>
      </c>
      <c r="J257" s="1026"/>
      <c r="K257" s="710">
        <v>7874</v>
      </c>
      <c r="L257" s="710"/>
      <c r="M257" s="710"/>
      <c r="N257" s="710">
        <v>2126</v>
      </c>
      <c r="O257" s="1037">
        <f>SUM(K257:N257)</f>
        <v>10000</v>
      </c>
      <c r="P257" s="1049">
        <v>10000</v>
      </c>
      <c r="Q257" s="1045"/>
    </row>
    <row r="258" spans="1:17" s="761" customFormat="1" x14ac:dyDescent="0.2">
      <c r="A258" s="720" t="s">
        <v>1067</v>
      </c>
      <c r="B258" s="765"/>
      <c r="C258" s="749"/>
      <c r="D258" s="749"/>
      <c r="E258" s="749"/>
      <c r="F258" s="749"/>
      <c r="G258" s="749"/>
      <c r="H258" s="749"/>
      <c r="I258" s="1011"/>
      <c r="J258" s="1026"/>
      <c r="K258" s="710">
        <v>236</v>
      </c>
      <c r="L258" s="710"/>
      <c r="M258" s="710"/>
      <c r="N258" s="710">
        <v>64</v>
      </c>
      <c r="O258" s="1003">
        <f t="shared" ref="O258:O261" si="47">SUM(K258:N258)</f>
        <v>300</v>
      </c>
      <c r="P258" s="1049">
        <v>300</v>
      </c>
      <c r="Q258" s="1045"/>
    </row>
    <row r="259" spans="1:17" s="761" customFormat="1" x14ac:dyDescent="0.2">
      <c r="A259" s="720" t="s">
        <v>1068</v>
      </c>
      <c r="B259" s="765"/>
      <c r="C259" s="749"/>
      <c r="D259" s="749"/>
      <c r="E259" s="749"/>
      <c r="F259" s="749"/>
      <c r="G259" s="749"/>
      <c r="H259" s="749"/>
      <c r="I259" s="1011"/>
      <c r="J259" s="1026"/>
      <c r="K259" s="710">
        <v>1260</v>
      </c>
      <c r="L259" s="710"/>
      <c r="M259" s="710"/>
      <c r="N259" s="710">
        <v>340</v>
      </c>
      <c r="O259" s="1003">
        <f t="shared" si="47"/>
        <v>1600</v>
      </c>
      <c r="P259" s="1049">
        <v>1600</v>
      </c>
      <c r="Q259" s="1045"/>
    </row>
    <row r="260" spans="1:17" s="761" customFormat="1" x14ac:dyDescent="0.2">
      <c r="A260" s="720" t="s">
        <v>1069</v>
      </c>
      <c r="B260" s="765"/>
      <c r="C260" s="749"/>
      <c r="D260" s="749"/>
      <c r="E260" s="749"/>
      <c r="F260" s="749"/>
      <c r="G260" s="749"/>
      <c r="H260" s="749"/>
      <c r="I260" s="1011"/>
      <c r="J260" s="1026"/>
      <c r="K260" s="710">
        <v>236</v>
      </c>
      <c r="L260" s="710"/>
      <c r="M260" s="710"/>
      <c r="N260" s="710">
        <v>64</v>
      </c>
      <c r="O260" s="1003">
        <f t="shared" si="47"/>
        <v>300</v>
      </c>
      <c r="P260" s="1049">
        <v>300</v>
      </c>
      <c r="Q260" s="1045"/>
    </row>
    <row r="261" spans="1:17" s="761" customFormat="1" x14ac:dyDescent="0.2">
      <c r="A261" s="720" t="s">
        <v>1070</v>
      </c>
      <c r="B261" s="765"/>
      <c r="C261" s="749"/>
      <c r="D261" s="749"/>
      <c r="E261" s="749"/>
      <c r="F261" s="749"/>
      <c r="G261" s="749"/>
      <c r="H261" s="749"/>
      <c r="I261" s="1011"/>
      <c r="J261" s="1026"/>
      <c r="K261" s="710">
        <v>8715</v>
      </c>
      <c r="L261" s="710"/>
      <c r="M261" s="710"/>
      <c r="N261" s="710">
        <v>2353</v>
      </c>
      <c r="O261" s="1003">
        <f t="shared" si="47"/>
        <v>11068</v>
      </c>
      <c r="P261" s="1049">
        <v>11068</v>
      </c>
      <c r="Q261" s="1045"/>
    </row>
    <row r="262" spans="1:17" s="761" customFormat="1" x14ac:dyDescent="0.2">
      <c r="A262" s="747" t="s">
        <v>1017</v>
      </c>
      <c r="B262" s="762"/>
      <c r="C262" s="763"/>
      <c r="D262" s="763"/>
      <c r="E262" s="770"/>
      <c r="F262" s="770"/>
      <c r="G262" s="770"/>
      <c r="H262" s="770"/>
      <c r="I262" s="1012"/>
      <c r="J262" s="1028"/>
      <c r="K262" s="764"/>
      <c r="L262" s="763"/>
      <c r="M262" s="763"/>
      <c r="N262" s="763"/>
      <c r="O262" s="1014"/>
      <c r="P262" s="1049"/>
      <c r="Q262" s="1045"/>
    </row>
    <row r="263" spans="1:17" s="761" customFormat="1" ht="25.5" x14ac:dyDescent="0.2">
      <c r="A263" s="720" t="s">
        <v>1071</v>
      </c>
      <c r="B263" s="765"/>
      <c r="C263" s="749"/>
      <c r="D263" s="749"/>
      <c r="E263" s="702">
        <v>236</v>
      </c>
      <c r="F263" s="753"/>
      <c r="G263" s="753"/>
      <c r="H263" s="753">
        <v>64</v>
      </c>
      <c r="I263" s="1011">
        <f t="shared" ref="I263:I265" si="48">SUM(B263:H263)</f>
        <v>300</v>
      </c>
      <c r="J263" s="1026">
        <v>300</v>
      </c>
      <c r="K263" s="710"/>
      <c r="L263" s="710"/>
      <c r="M263" s="710"/>
      <c r="N263" s="710"/>
      <c r="O263" s="1003">
        <f t="shared" ref="O263:O265" si="49">SUM(K263:N263)</f>
        <v>0</v>
      </c>
      <c r="P263" s="1049"/>
      <c r="Q263" s="1045"/>
    </row>
    <row r="264" spans="1:17" s="761" customFormat="1" x14ac:dyDescent="0.2">
      <c r="A264" s="720" t="s">
        <v>1072</v>
      </c>
      <c r="B264" s="765"/>
      <c r="C264" s="749"/>
      <c r="D264" s="749"/>
      <c r="E264" s="702">
        <v>331</v>
      </c>
      <c r="F264" s="702"/>
      <c r="G264" s="702"/>
      <c r="H264" s="702">
        <v>89</v>
      </c>
      <c r="I264" s="1011">
        <f t="shared" si="48"/>
        <v>420</v>
      </c>
      <c r="J264" s="1026">
        <v>420</v>
      </c>
      <c r="K264" s="751"/>
      <c r="L264" s="749"/>
      <c r="M264" s="749"/>
      <c r="N264" s="749"/>
      <c r="O264" s="1003">
        <f t="shared" si="49"/>
        <v>0</v>
      </c>
      <c r="P264" s="1049"/>
      <c r="Q264" s="1045"/>
    </row>
    <row r="265" spans="1:17" s="761" customFormat="1" x14ac:dyDescent="0.2">
      <c r="A265" s="720" t="s">
        <v>1073</v>
      </c>
      <c r="B265" s="765"/>
      <c r="C265" s="749"/>
      <c r="D265" s="749"/>
      <c r="E265" s="702">
        <v>1023</v>
      </c>
      <c r="F265" s="702"/>
      <c r="G265" s="702"/>
      <c r="H265" s="702">
        <v>276</v>
      </c>
      <c r="I265" s="1011">
        <f t="shared" si="48"/>
        <v>1299</v>
      </c>
      <c r="J265" s="1026">
        <v>1299</v>
      </c>
      <c r="K265" s="751"/>
      <c r="L265" s="749"/>
      <c r="M265" s="749"/>
      <c r="N265" s="749"/>
      <c r="O265" s="1003">
        <f t="shared" si="49"/>
        <v>0</v>
      </c>
      <c r="P265" s="1049"/>
      <c r="Q265" s="1045"/>
    </row>
    <row r="266" spans="1:17" s="777" customFormat="1" ht="30" hidden="1" customHeight="1" thickTop="1" x14ac:dyDescent="0.25">
      <c r="A266" s="731" t="s">
        <v>1074</v>
      </c>
      <c r="B266" s="791">
        <f t="shared" ref="B266:H266" si="50">SUM(B267:B269)</f>
        <v>0</v>
      </c>
      <c r="C266" s="791">
        <f t="shared" si="50"/>
        <v>0</v>
      </c>
      <c r="D266" s="791">
        <f t="shared" si="50"/>
        <v>0</v>
      </c>
      <c r="E266" s="791">
        <f t="shared" si="50"/>
        <v>0</v>
      </c>
      <c r="F266" s="791">
        <f t="shared" si="50"/>
        <v>0</v>
      </c>
      <c r="G266" s="791">
        <f t="shared" si="50"/>
        <v>0</v>
      </c>
      <c r="H266" s="791">
        <f t="shared" si="50"/>
        <v>0</v>
      </c>
      <c r="I266" s="1007">
        <f t="shared" si="26"/>
        <v>0</v>
      </c>
      <c r="J266" s="1032"/>
      <c r="K266" s="1019">
        <f>SUM(K267:K269)</f>
        <v>0</v>
      </c>
      <c r="L266" s="791">
        <f>SUM(L267:L269)</f>
        <v>0</v>
      </c>
      <c r="M266" s="791">
        <f>SUM(M267:M269)</f>
        <v>0</v>
      </c>
      <c r="N266" s="791">
        <f>SUM(N267:N269)</f>
        <v>0</v>
      </c>
      <c r="O266" s="1003">
        <f>SUM(O267:O269)</f>
        <v>0</v>
      </c>
      <c r="P266" s="1050"/>
      <c r="Q266" s="1046"/>
    </row>
    <row r="267" spans="1:17" s="777" customFormat="1" hidden="1" x14ac:dyDescent="0.2">
      <c r="A267" s="747" t="s">
        <v>1073</v>
      </c>
      <c r="B267" s="792"/>
      <c r="C267" s="793"/>
      <c r="D267" s="702"/>
      <c r="E267" s="702"/>
      <c r="F267" s="793"/>
      <c r="G267" s="793"/>
      <c r="H267" s="702"/>
      <c r="I267" s="1016">
        <f t="shared" ref="I267:I268" si="51">SUM(B267:H267)</f>
        <v>0</v>
      </c>
      <c r="J267" s="1033"/>
      <c r="K267" s="794"/>
      <c r="L267" s="793"/>
      <c r="M267" s="793"/>
      <c r="N267" s="793"/>
      <c r="O267" s="1003"/>
      <c r="P267" s="1050"/>
      <c r="Q267" s="1046"/>
    </row>
    <row r="268" spans="1:17" s="777" customFormat="1" ht="30" hidden="1" customHeight="1" x14ac:dyDescent="0.2">
      <c r="A268" s="720" t="s">
        <v>1075</v>
      </c>
      <c r="B268" s="792"/>
      <c r="C268" s="793"/>
      <c r="D268" s="702"/>
      <c r="E268" s="702"/>
      <c r="F268" s="702"/>
      <c r="G268" s="702"/>
      <c r="H268" s="702"/>
      <c r="I268" s="1016">
        <f t="shared" si="51"/>
        <v>0</v>
      </c>
      <c r="J268" s="1033"/>
      <c r="K268" s="794"/>
      <c r="L268" s="793"/>
      <c r="M268" s="793"/>
      <c r="N268" s="793"/>
      <c r="O268" s="1003"/>
      <c r="P268" s="1050"/>
      <c r="Q268" s="1046"/>
    </row>
    <row r="269" spans="1:17" s="777" customFormat="1" ht="13.5" thickBot="1" x14ac:dyDescent="0.25">
      <c r="A269" s="795"/>
      <c r="B269" s="796"/>
      <c r="C269" s="797"/>
      <c r="D269" s="798"/>
      <c r="E269" s="798"/>
      <c r="F269" s="798"/>
      <c r="G269" s="798"/>
      <c r="H269" s="798"/>
      <c r="I269" s="1017"/>
      <c r="J269" s="1034"/>
      <c r="K269" s="799"/>
      <c r="L269" s="797"/>
      <c r="M269" s="797"/>
      <c r="N269" s="797"/>
      <c r="O269" s="1003"/>
      <c r="P269" s="1051"/>
      <c r="Q269" s="1046"/>
    </row>
    <row r="270" spans="1:17" x14ac:dyDescent="0.2">
      <c r="A270" s="800"/>
      <c r="B270" s="701"/>
      <c r="C270" s="701"/>
      <c r="D270" s="701"/>
      <c r="E270" s="701"/>
      <c r="F270" s="701"/>
      <c r="G270" s="701"/>
      <c r="H270" s="701"/>
      <c r="I270" s="723"/>
      <c r="J270" s="723"/>
      <c r="K270" s="701"/>
      <c r="L270" s="701"/>
      <c r="M270" s="701"/>
      <c r="N270" s="701"/>
      <c r="O270" s="723"/>
      <c r="P270" s="1047"/>
    </row>
  </sheetData>
  <mergeCells count="5">
    <mergeCell ref="B1:J1"/>
    <mergeCell ref="B2:I2"/>
    <mergeCell ref="A1:A4"/>
    <mergeCell ref="K1:P1"/>
    <mergeCell ref="K2:O2"/>
  </mergeCells>
  <pageMargins left="0.27559055118110237" right="0.15748031496062992" top="0.43307086614173229" bottom="0.27559055118110237" header="0.19685039370078741" footer="0.15748031496062992"/>
  <pageSetup paperSize="9" scale="59" orientation="landscape" r:id="rId1"/>
  <headerFooter>
    <oddHeader>&amp;R4. melléklet a .../2022. (V. .....) önkormányzati rendelethez
4. melléklet az 1/2022. (II. 28.) önkormányzati rendelethez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6"/>
  <sheetViews>
    <sheetView view="pageBreakPreview" topLeftCell="A188" zoomScaleNormal="100" zoomScaleSheetLayoutView="100" workbookViewId="0">
      <selection activeCell="D204" sqref="D204"/>
    </sheetView>
  </sheetViews>
  <sheetFormatPr defaultColWidth="9.140625" defaultRowHeight="15.75" x14ac:dyDescent="0.25"/>
  <cols>
    <col min="1" max="1" width="12.7109375" style="917" customWidth="1"/>
    <col min="2" max="2" width="40.7109375" style="917" customWidth="1"/>
    <col min="3" max="3" width="7.7109375" style="917" customWidth="1"/>
    <col min="4" max="12" width="15.7109375" style="917" customWidth="1"/>
    <col min="13" max="13" width="4.7109375" style="918" customWidth="1"/>
    <col min="14" max="14" width="16.85546875" style="919" customWidth="1"/>
    <col min="15" max="16" width="16.140625" style="919" customWidth="1"/>
    <col min="17" max="17" width="18" style="919" customWidth="1"/>
    <col min="18" max="18" width="24.140625" style="919" customWidth="1"/>
    <col min="19" max="19" width="24" style="919" customWidth="1"/>
    <col min="20" max="20" width="19.28515625" style="919" customWidth="1"/>
    <col min="21" max="21" width="21.42578125" style="919" customWidth="1"/>
    <col min="22" max="22" width="14.5703125" style="919" customWidth="1"/>
    <col min="23" max="16384" width="9.140625" style="918"/>
  </cols>
  <sheetData>
    <row r="1" spans="1:14" ht="16.5" thickBot="1" x14ac:dyDescent="0.3">
      <c r="A1" s="916" t="s">
        <v>1332</v>
      </c>
    </row>
    <row r="2" spans="1:14" ht="63.75" thickTop="1" x14ac:dyDescent="0.25">
      <c r="A2" s="920" t="s">
        <v>1333</v>
      </c>
      <c r="B2" s="921" t="s">
        <v>1334</v>
      </c>
      <c r="C2" s="922" t="s">
        <v>1335</v>
      </c>
      <c r="D2" s="922" t="s">
        <v>1336</v>
      </c>
      <c r="E2" s="922" t="s">
        <v>1337</v>
      </c>
      <c r="F2" s="922" t="s">
        <v>8</v>
      </c>
      <c r="G2" s="922" t="s">
        <v>1338</v>
      </c>
      <c r="H2" s="922" t="s">
        <v>1339</v>
      </c>
      <c r="I2" s="922" t="s">
        <v>1340</v>
      </c>
      <c r="J2" s="922" t="s">
        <v>1341</v>
      </c>
      <c r="K2" s="923" t="s">
        <v>1342</v>
      </c>
    </row>
    <row r="3" spans="1:14" ht="31.5" x14ac:dyDescent="0.25">
      <c r="A3" s="924" t="s">
        <v>1343</v>
      </c>
      <c r="B3" s="925" t="s">
        <v>1344</v>
      </c>
      <c r="C3" s="926" t="s">
        <v>1345</v>
      </c>
      <c r="D3" s="927"/>
      <c r="E3" s="927"/>
      <c r="F3" s="927"/>
      <c r="G3" s="927">
        <v>4500</v>
      </c>
      <c r="H3" s="927"/>
      <c r="I3" s="927"/>
      <c r="J3" s="927"/>
      <c r="K3" s="928">
        <v>2540000</v>
      </c>
    </row>
    <row r="4" spans="1:14" ht="31.5" x14ac:dyDescent="0.25">
      <c r="A4" s="924" t="s">
        <v>1343</v>
      </c>
      <c r="B4" s="925" t="s">
        <v>1344</v>
      </c>
      <c r="C4" s="926" t="s">
        <v>1346</v>
      </c>
      <c r="D4" s="927"/>
      <c r="E4" s="927"/>
      <c r="F4" s="927"/>
      <c r="G4" s="927"/>
      <c r="H4" s="927"/>
      <c r="I4" s="927"/>
      <c r="J4" s="927">
        <v>9000</v>
      </c>
      <c r="K4" s="928"/>
    </row>
    <row r="5" spans="1:14" ht="31.5" x14ac:dyDescent="0.25">
      <c r="A5" s="924" t="s">
        <v>1343</v>
      </c>
      <c r="B5" s="925" t="s">
        <v>1344</v>
      </c>
      <c r="C5" s="926" t="s">
        <v>1345</v>
      </c>
      <c r="D5" s="927"/>
      <c r="E5" s="927"/>
      <c r="F5" s="927"/>
      <c r="G5" s="927"/>
      <c r="H5" s="927"/>
      <c r="I5" s="927"/>
      <c r="J5" s="927"/>
      <c r="K5" s="928">
        <v>2538800</v>
      </c>
    </row>
    <row r="6" spans="1:14" ht="31.5" hidden="1" x14ac:dyDescent="0.25">
      <c r="A6" s="924" t="s">
        <v>1343</v>
      </c>
      <c r="B6" s="925" t="s">
        <v>1344</v>
      </c>
      <c r="C6" s="926" t="s">
        <v>1346</v>
      </c>
      <c r="D6" s="927"/>
      <c r="E6" s="927"/>
      <c r="F6" s="927"/>
      <c r="G6" s="927"/>
      <c r="H6" s="927"/>
      <c r="I6" s="927"/>
      <c r="J6" s="927"/>
      <c r="K6" s="928"/>
    </row>
    <row r="7" spans="1:14" ht="31.5" hidden="1" x14ac:dyDescent="0.25">
      <c r="A7" s="924" t="s">
        <v>1343</v>
      </c>
      <c r="B7" s="925" t="s">
        <v>1344</v>
      </c>
      <c r="C7" s="926" t="s">
        <v>1345</v>
      </c>
      <c r="D7" s="927"/>
      <c r="E7" s="927"/>
      <c r="F7" s="927"/>
      <c r="G7" s="927"/>
      <c r="H7" s="927"/>
      <c r="I7" s="927"/>
      <c r="J7" s="927"/>
      <c r="K7" s="928"/>
    </row>
    <row r="8" spans="1:14" ht="31.5" hidden="1" x14ac:dyDescent="0.25">
      <c r="A8" s="924" t="s">
        <v>1343</v>
      </c>
      <c r="B8" s="925" t="s">
        <v>1344</v>
      </c>
      <c r="C8" s="926" t="s">
        <v>1346</v>
      </c>
      <c r="D8" s="927"/>
      <c r="E8" s="927"/>
      <c r="F8" s="927"/>
      <c r="G8" s="927"/>
      <c r="H8" s="927"/>
      <c r="I8" s="927"/>
      <c r="J8" s="927"/>
      <c r="K8" s="928"/>
    </row>
    <row r="9" spans="1:14" ht="31.5" hidden="1" x14ac:dyDescent="0.25">
      <c r="A9" s="924" t="s">
        <v>1343</v>
      </c>
      <c r="B9" s="925" t="s">
        <v>1344</v>
      </c>
      <c r="C9" s="926" t="s">
        <v>1345</v>
      </c>
      <c r="D9" s="927">
        <v>0</v>
      </c>
      <c r="E9" s="927">
        <v>0</v>
      </c>
      <c r="F9" s="927">
        <v>0</v>
      </c>
      <c r="G9" s="927"/>
      <c r="H9" s="927">
        <v>0</v>
      </c>
      <c r="I9" s="927">
        <v>0</v>
      </c>
      <c r="J9" s="927">
        <v>0</v>
      </c>
      <c r="K9" s="928"/>
      <c r="M9" s="929"/>
      <c r="N9" s="930"/>
    </row>
    <row r="10" spans="1:14" ht="31.5" hidden="1" x14ac:dyDescent="0.25">
      <c r="A10" s="924" t="s">
        <v>1343</v>
      </c>
      <c r="B10" s="925" t="s">
        <v>1344</v>
      </c>
      <c r="C10" s="926" t="s">
        <v>1346</v>
      </c>
      <c r="D10" s="927">
        <v>0</v>
      </c>
      <c r="E10" s="927">
        <v>0</v>
      </c>
      <c r="F10" s="927">
        <v>0</v>
      </c>
      <c r="G10" s="927">
        <v>0</v>
      </c>
      <c r="H10" s="927">
        <v>0</v>
      </c>
      <c r="I10" s="927">
        <v>0</v>
      </c>
      <c r="J10" s="927"/>
      <c r="K10" s="928">
        <v>0</v>
      </c>
      <c r="N10" s="930"/>
    </row>
    <row r="11" spans="1:14" x14ac:dyDescent="0.25">
      <c r="A11" s="924" t="s">
        <v>1347</v>
      </c>
      <c r="B11" s="925" t="s">
        <v>1348</v>
      </c>
      <c r="C11" s="926" t="s">
        <v>1345</v>
      </c>
      <c r="D11" s="927"/>
      <c r="E11" s="927">
        <v>87464</v>
      </c>
      <c r="F11" s="927"/>
      <c r="G11" s="927"/>
      <c r="H11" s="927">
        <v>1350000</v>
      </c>
      <c r="I11" s="927"/>
      <c r="J11" s="927"/>
      <c r="K11" s="928"/>
      <c r="N11" s="930"/>
    </row>
    <row r="12" spans="1:14" x14ac:dyDescent="0.25">
      <c r="A12" s="924" t="s">
        <v>1347</v>
      </c>
      <c r="B12" s="925" t="s">
        <v>1348</v>
      </c>
      <c r="C12" s="926" t="s">
        <v>1346</v>
      </c>
      <c r="D12" s="927"/>
      <c r="E12" s="927"/>
      <c r="F12" s="927"/>
      <c r="G12" s="927"/>
      <c r="H12" s="927"/>
      <c r="I12" s="927"/>
      <c r="J12" s="927"/>
      <c r="K12" s="928"/>
      <c r="N12" s="930"/>
    </row>
    <row r="13" spans="1:14" ht="31.5" hidden="1" x14ac:dyDescent="0.25">
      <c r="A13" s="924" t="s">
        <v>1349</v>
      </c>
      <c r="B13" s="925" t="s">
        <v>1350</v>
      </c>
      <c r="C13" s="926" t="s">
        <v>1345</v>
      </c>
      <c r="D13" s="927"/>
      <c r="E13" s="927"/>
      <c r="F13" s="927"/>
      <c r="G13" s="927"/>
      <c r="H13" s="927"/>
      <c r="I13" s="927"/>
      <c r="J13" s="927"/>
      <c r="K13" s="928"/>
    </row>
    <row r="14" spans="1:14" ht="31.5" hidden="1" x14ac:dyDescent="0.25">
      <c r="A14" s="924" t="s">
        <v>1349</v>
      </c>
      <c r="B14" s="925" t="s">
        <v>1350</v>
      </c>
      <c r="C14" s="926" t="s">
        <v>1346</v>
      </c>
      <c r="D14" s="927"/>
      <c r="E14" s="927"/>
      <c r="F14" s="927"/>
      <c r="G14" s="927"/>
      <c r="H14" s="927"/>
      <c r="I14" s="927"/>
      <c r="J14" s="927"/>
      <c r="K14" s="928"/>
    </row>
    <row r="15" spans="1:14" ht="31.5" hidden="1" x14ac:dyDescent="0.25">
      <c r="A15" s="924" t="s">
        <v>1349</v>
      </c>
      <c r="B15" s="925" t="s">
        <v>1350</v>
      </c>
      <c r="C15" s="926" t="s">
        <v>1345</v>
      </c>
      <c r="D15" s="927"/>
      <c r="E15" s="927"/>
      <c r="F15" s="927"/>
      <c r="G15" s="927"/>
      <c r="H15" s="927"/>
      <c r="I15" s="927"/>
      <c r="J15" s="927"/>
      <c r="K15" s="928"/>
    </row>
    <row r="16" spans="1:14" ht="31.5" hidden="1" x14ac:dyDescent="0.25">
      <c r="A16" s="924" t="s">
        <v>1349</v>
      </c>
      <c r="B16" s="925" t="s">
        <v>1350</v>
      </c>
      <c r="C16" s="926" t="s">
        <v>1346</v>
      </c>
      <c r="D16" s="927"/>
      <c r="E16" s="927"/>
      <c r="F16" s="927"/>
      <c r="G16" s="927"/>
      <c r="H16" s="927"/>
      <c r="I16" s="927"/>
      <c r="J16" s="927"/>
      <c r="K16" s="928"/>
    </row>
    <row r="17" spans="1:21" ht="31.5" x14ac:dyDescent="0.25">
      <c r="A17" s="924" t="s">
        <v>1349</v>
      </c>
      <c r="B17" s="925" t="s">
        <v>1350</v>
      </c>
      <c r="C17" s="926" t="s">
        <v>1345</v>
      </c>
      <c r="D17" s="927">
        <v>1442617</v>
      </c>
      <c r="E17" s="927"/>
      <c r="F17" s="927"/>
      <c r="G17" s="927"/>
      <c r="H17" s="927"/>
      <c r="I17" s="927"/>
      <c r="J17" s="927"/>
      <c r="K17" s="928"/>
    </row>
    <row r="18" spans="1:21" ht="31.5" x14ac:dyDescent="0.25">
      <c r="A18" s="924" t="s">
        <v>1349</v>
      </c>
      <c r="B18" s="925" t="s">
        <v>1350</v>
      </c>
      <c r="C18" s="926" t="s">
        <v>1346</v>
      </c>
      <c r="D18" s="927"/>
      <c r="E18" s="927"/>
      <c r="F18" s="927"/>
      <c r="G18" s="927"/>
      <c r="H18" s="927"/>
      <c r="I18" s="927"/>
      <c r="J18" s="927"/>
      <c r="K18" s="928"/>
      <c r="N18" s="931"/>
      <c r="O18" s="931"/>
      <c r="P18" s="931"/>
      <c r="Q18" s="931"/>
      <c r="R18" s="931"/>
      <c r="S18" s="931"/>
      <c r="T18" s="931"/>
      <c r="U18" s="931"/>
    </row>
    <row r="19" spans="1:21" x14ac:dyDescent="0.25">
      <c r="A19" s="924" t="s">
        <v>1351</v>
      </c>
      <c r="B19" s="925" t="s">
        <v>1352</v>
      </c>
      <c r="C19" s="926" t="s">
        <v>1345</v>
      </c>
      <c r="D19" s="927"/>
      <c r="E19" s="927"/>
      <c r="F19" s="927">
        <v>47000</v>
      </c>
      <c r="G19" s="927"/>
      <c r="H19" s="927"/>
      <c r="I19" s="927"/>
      <c r="J19" s="927"/>
      <c r="K19" s="928"/>
    </row>
    <row r="20" spans="1:21" x14ac:dyDescent="0.25">
      <c r="A20" s="924" t="s">
        <v>1351</v>
      </c>
      <c r="B20" s="925" t="s">
        <v>1352</v>
      </c>
      <c r="C20" s="926" t="s">
        <v>1346</v>
      </c>
      <c r="D20" s="927"/>
      <c r="E20" s="927"/>
      <c r="F20" s="927"/>
      <c r="G20" s="927"/>
      <c r="H20" s="927"/>
      <c r="I20" s="927"/>
      <c r="J20" s="927"/>
      <c r="K20" s="928"/>
    </row>
    <row r="21" spans="1:21" x14ac:dyDescent="0.25">
      <c r="A21" s="924" t="s">
        <v>1353</v>
      </c>
      <c r="B21" s="925" t="s">
        <v>1354</v>
      </c>
      <c r="C21" s="926" t="s">
        <v>1345</v>
      </c>
      <c r="D21" s="927"/>
      <c r="E21" s="927"/>
      <c r="F21" s="927">
        <v>2944479</v>
      </c>
      <c r="G21" s="927"/>
      <c r="H21" s="927"/>
      <c r="I21" s="927"/>
      <c r="J21" s="927"/>
      <c r="K21" s="928"/>
    </row>
    <row r="22" spans="1:21" x14ac:dyDescent="0.25">
      <c r="A22" s="924" t="s">
        <v>1353</v>
      </c>
      <c r="B22" s="925" t="s">
        <v>1354</v>
      </c>
      <c r="C22" s="926" t="s">
        <v>1346</v>
      </c>
      <c r="D22" s="927"/>
      <c r="E22" s="927"/>
      <c r="F22" s="927"/>
      <c r="G22" s="927"/>
      <c r="H22" s="927"/>
      <c r="I22" s="927"/>
      <c r="J22" s="927"/>
      <c r="K22" s="928"/>
    </row>
    <row r="23" spans="1:21" hidden="1" x14ac:dyDescent="0.25">
      <c r="A23" s="932" t="s">
        <v>1355</v>
      </c>
      <c r="B23" s="925" t="s">
        <v>1356</v>
      </c>
      <c r="C23" s="926" t="s">
        <v>1345</v>
      </c>
      <c r="D23" s="927"/>
      <c r="E23" s="927"/>
      <c r="F23" s="927"/>
      <c r="G23" s="927"/>
      <c r="H23" s="927"/>
      <c r="I23" s="927"/>
      <c r="J23" s="927"/>
      <c r="K23" s="928"/>
    </row>
    <row r="24" spans="1:21" hidden="1" x14ac:dyDescent="0.25">
      <c r="A24" s="932" t="s">
        <v>1355</v>
      </c>
      <c r="B24" s="925" t="s">
        <v>1356</v>
      </c>
      <c r="C24" s="926" t="s">
        <v>1346</v>
      </c>
      <c r="D24" s="927"/>
      <c r="E24" s="927"/>
      <c r="F24" s="927"/>
      <c r="G24" s="927"/>
      <c r="H24" s="927"/>
      <c r="I24" s="927"/>
      <c r="J24" s="927"/>
      <c r="K24" s="928"/>
    </row>
    <row r="25" spans="1:21" x14ac:dyDescent="0.25">
      <c r="A25" s="924" t="s">
        <v>1357</v>
      </c>
      <c r="B25" s="925" t="s">
        <v>1358</v>
      </c>
      <c r="C25" s="926" t="s">
        <v>1345</v>
      </c>
      <c r="D25" s="927"/>
      <c r="E25" s="927"/>
      <c r="F25" s="927"/>
      <c r="G25" s="927">
        <v>1245000</v>
      </c>
      <c r="H25" s="927"/>
      <c r="I25" s="927"/>
      <c r="J25" s="927"/>
      <c r="K25" s="928"/>
    </row>
    <row r="26" spans="1:21" x14ac:dyDescent="0.25">
      <c r="A26" s="924" t="s">
        <v>1357</v>
      </c>
      <c r="B26" s="925" t="s">
        <v>1358</v>
      </c>
      <c r="C26" s="926" t="s">
        <v>1346</v>
      </c>
      <c r="D26" s="927"/>
      <c r="E26" s="927"/>
      <c r="F26" s="927"/>
      <c r="G26" s="927"/>
      <c r="H26" s="927"/>
      <c r="I26" s="927"/>
      <c r="J26" s="927"/>
      <c r="K26" s="928"/>
    </row>
    <row r="27" spans="1:21" ht="31.5" hidden="1" x14ac:dyDescent="0.25">
      <c r="A27" s="924" t="s">
        <v>1359</v>
      </c>
      <c r="B27" s="933" t="s">
        <v>1360</v>
      </c>
      <c r="C27" s="926" t="s">
        <v>1345</v>
      </c>
      <c r="D27" s="927"/>
      <c r="E27" s="927"/>
      <c r="F27" s="927"/>
      <c r="G27" s="927"/>
      <c r="H27" s="927"/>
      <c r="I27" s="927"/>
      <c r="J27" s="927"/>
      <c r="K27" s="928"/>
    </row>
    <row r="28" spans="1:21" ht="31.5" hidden="1" x14ac:dyDescent="0.25">
      <c r="A28" s="924" t="s">
        <v>1359</v>
      </c>
      <c r="B28" s="933" t="s">
        <v>1360</v>
      </c>
      <c r="C28" s="926" t="s">
        <v>1346</v>
      </c>
      <c r="D28" s="927"/>
      <c r="E28" s="934"/>
      <c r="F28" s="927"/>
      <c r="G28" s="927"/>
      <c r="H28" s="927"/>
      <c r="I28" s="927"/>
      <c r="J28" s="927"/>
      <c r="K28" s="928"/>
    </row>
    <row r="29" spans="1:21" hidden="1" x14ac:dyDescent="0.25">
      <c r="A29" s="924" t="s">
        <v>1361</v>
      </c>
      <c r="B29" s="925" t="s">
        <v>1362</v>
      </c>
      <c r="C29" s="926" t="s">
        <v>1345</v>
      </c>
      <c r="D29" s="927"/>
      <c r="E29" s="927"/>
      <c r="F29" s="927"/>
      <c r="G29" s="927"/>
      <c r="H29" s="927"/>
      <c r="I29" s="927"/>
      <c r="J29" s="927"/>
      <c r="K29" s="928"/>
    </row>
    <row r="30" spans="1:21" hidden="1" x14ac:dyDescent="0.25">
      <c r="A30" s="924" t="s">
        <v>1361</v>
      </c>
      <c r="B30" s="925" t="s">
        <v>1362</v>
      </c>
      <c r="C30" s="926" t="s">
        <v>1346</v>
      </c>
      <c r="D30" s="927"/>
      <c r="E30" s="927"/>
      <c r="F30" s="927"/>
      <c r="G30" s="927"/>
      <c r="H30" s="927"/>
      <c r="I30" s="927"/>
      <c r="J30" s="927"/>
      <c r="K30" s="928"/>
    </row>
    <row r="31" spans="1:21" hidden="1" x14ac:dyDescent="0.25">
      <c r="A31" s="924" t="s">
        <v>1363</v>
      </c>
      <c r="B31" s="925" t="s">
        <v>1364</v>
      </c>
      <c r="C31" s="926" t="s">
        <v>1345</v>
      </c>
      <c r="D31" s="927"/>
      <c r="E31" s="927"/>
      <c r="F31" s="927"/>
      <c r="G31" s="927"/>
      <c r="H31" s="927"/>
      <c r="I31" s="927"/>
      <c r="J31" s="927"/>
      <c r="K31" s="928"/>
    </row>
    <row r="32" spans="1:21" hidden="1" x14ac:dyDescent="0.25">
      <c r="A32" s="924" t="s">
        <v>1363</v>
      </c>
      <c r="B32" s="925" t="s">
        <v>1364</v>
      </c>
      <c r="C32" s="926" t="s">
        <v>1346</v>
      </c>
      <c r="D32" s="927"/>
      <c r="E32" s="927"/>
      <c r="F32" s="927"/>
      <c r="G32" s="927"/>
      <c r="H32" s="927"/>
      <c r="I32" s="927"/>
      <c r="J32" s="927"/>
      <c r="K32" s="928"/>
    </row>
    <row r="33" spans="1:14" ht="31.5" hidden="1" x14ac:dyDescent="0.25">
      <c r="A33" s="924" t="s">
        <v>1365</v>
      </c>
      <c r="B33" s="933" t="s">
        <v>1366</v>
      </c>
      <c r="C33" s="926" t="s">
        <v>1345</v>
      </c>
      <c r="D33" s="927"/>
      <c r="E33" s="927"/>
      <c r="F33" s="927"/>
      <c r="G33" s="927"/>
      <c r="H33" s="927"/>
      <c r="I33" s="927"/>
      <c r="J33" s="927"/>
      <c r="K33" s="928"/>
    </row>
    <row r="34" spans="1:14" ht="31.5" hidden="1" x14ac:dyDescent="0.25">
      <c r="A34" s="924" t="s">
        <v>1365</v>
      </c>
      <c r="B34" s="933" t="s">
        <v>1366</v>
      </c>
      <c r="C34" s="926" t="s">
        <v>1346</v>
      </c>
      <c r="D34" s="927"/>
      <c r="E34" s="927"/>
      <c r="F34" s="927"/>
      <c r="G34" s="927"/>
      <c r="H34" s="927"/>
      <c r="I34" s="927"/>
      <c r="J34" s="927"/>
      <c r="K34" s="928"/>
    </row>
    <row r="35" spans="1:14" hidden="1" x14ac:dyDescent="0.25">
      <c r="A35" s="924" t="s">
        <v>1367</v>
      </c>
      <c r="B35" s="925" t="s">
        <v>1368</v>
      </c>
      <c r="C35" s="926" t="s">
        <v>1345</v>
      </c>
      <c r="D35" s="927"/>
      <c r="E35" s="927"/>
      <c r="F35" s="927"/>
      <c r="G35" s="927"/>
      <c r="H35" s="927"/>
      <c r="I35" s="927"/>
      <c r="J35" s="927"/>
      <c r="K35" s="928"/>
    </row>
    <row r="36" spans="1:14" hidden="1" x14ac:dyDescent="0.25">
      <c r="A36" s="924" t="s">
        <v>1367</v>
      </c>
      <c r="B36" s="925" t="s">
        <v>1368</v>
      </c>
      <c r="C36" s="926" t="s">
        <v>1346</v>
      </c>
      <c r="D36" s="927"/>
      <c r="E36" s="927"/>
      <c r="F36" s="927"/>
      <c r="G36" s="927"/>
      <c r="H36" s="927"/>
      <c r="I36" s="927"/>
      <c r="J36" s="927"/>
      <c r="K36" s="928"/>
    </row>
    <row r="37" spans="1:14" ht="31.5" hidden="1" x14ac:dyDescent="0.25">
      <c r="A37" s="924" t="s">
        <v>1369</v>
      </c>
      <c r="B37" s="925" t="s">
        <v>1370</v>
      </c>
      <c r="C37" s="926" t="s">
        <v>1345</v>
      </c>
      <c r="D37" s="927"/>
      <c r="E37" s="927"/>
      <c r="F37" s="927"/>
      <c r="G37" s="927"/>
      <c r="H37" s="927"/>
      <c r="I37" s="927"/>
      <c r="J37" s="927"/>
      <c r="K37" s="928"/>
    </row>
    <row r="38" spans="1:14" ht="31.5" hidden="1" x14ac:dyDescent="0.25">
      <c r="A38" s="924" t="s">
        <v>1369</v>
      </c>
      <c r="B38" s="925" t="s">
        <v>1370</v>
      </c>
      <c r="C38" s="926" t="s">
        <v>1346</v>
      </c>
      <c r="D38" s="927"/>
      <c r="E38" s="927"/>
      <c r="F38" s="927"/>
      <c r="G38" s="927"/>
      <c r="H38" s="927"/>
      <c r="I38" s="927"/>
      <c r="J38" s="927"/>
      <c r="K38" s="928"/>
    </row>
    <row r="39" spans="1:14" ht="31.5" x14ac:dyDescent="0.25">
      <c r="A39" s="924" t="s">
        <v>1371</v>
      </c>
      <c r="B39" s="925" t="s">
        <v>1372</v>
      </c>
      <c r="C39" s="926" t="s">
        <v>1345</v>
      </c>
      <c r="D39" s="927"/>
      <c r="E39" s="927"/>
      <c r="F39" s="927"/>
      <c r="G39" s="927">
        <f>14000+68200+168212+57+5250+223288</f>
        <v>479007</v>
      </c>
      <c r="H39" s="927"/>
      <c r="I39" s="927"/>
      <c r="J39" s="927"/>
      <c r="K39" s="928"/>
    </row>
    <row r="40" spans="1:14" ht="32.25" thickBot="1" x14ac:dyDescent="0.3">
      <c r="A40" s="924" t="s">
        <v>1373</v>
      </c>
      <c r="B40" s="925" t="s">
        <v>1372</v>
      </c>
      <c r="C40" s="926" t="s">
        <v>1346</v>
      </c>
      <c r="D40" s="927"/>
      <c r="E40" s="927"/>
      <c r="F40" s="927"/>
      <c r="G40" s="927"/>
      <c r="H40" s="927"/>
      <c r="I40" s="927"/>
      <c r="J40" s="927"/>
      <c r="K40" s="928"/>
    </row>
    <row r="41" spans="1:14" ht="32.25" hidden="1" thickBot="1" x14ac:dyDescent="0.3">
      <c r="A41" s="924" t="s">
        <v>1374</v>
      </c>
      <c r="B41" s="925" t="s">
        <v>1375</v>
      </c>
      <c r="C41" s="926" t="s">
        <v>1345</v>
      </c>
      <c r="D41" s="927"/>
      <c r="E41" s="927"/>
      <c r="F41" s="927"/>
      <c r="G41" s="927"/>
      <c r="H41" s="927"/>
      <c r="I41" s="927"/>
      <c r="J41" s="927"/>
      <c r="K41" s="928"/>
    </row>
    <row r="42" spans="1:14" ht="32.25" hidden="1" thickBot="1" x14ac:dyDescent="0.3">
      <c r="A42" s="935" t="s">
        <v>1374</v>
      </c>
      <c r="B42" s="936" t="s">
        <v>1375</v>
      </c>
      <c r="C42" s="937" t="s">
        <v>1346</v>
      </c>
      <c r="D42" s="938"/>
      <c r="E42" s="938"/>
      <c r="F42" s="938"/>
      <c r="G42" s="938"/>
      <c r="H42" s="938"/>
      <c r="I42" s="938"/>
      <c r="J42" s="938"/>
      <c r="K42" s="939"/>
    </row>
    <row r="43" spans="1:14" ht="16.5" thickTop="1" x14ac:dyDescent="0.25">
      <c r="A43" s="940" t="s">
        <v>1376</v>
      </c>
      <c r="B43" s="941"/>
      <c r="C43" s="941"/>
      <c r="D43" s="941"/>
      <c r="E43" s="941"/>
      <c r="F43" s="941"/>
      <c r="G43" s="941"/>
      <c r="H43" s="941"/>
      <c r="I43" s="941"/>
      <c r="J43" s="941"/>
      <c r="K43" s="941"/>
      <c r="L43" s="942"/>
    </row>
    <row r="44" spans="1:14" ht="63" x14ac:dyDescent="0.25">
      <c r="A44" s="943" t="s">
        <v>1333</v>
      </c>
      <c r="B44" s="944" t="s">
        <v>1334</v>
      </c>
      <c r="C44" s="945" t="s">
        <v>1335</v>
      </c>
      <c r="D44" s="945" t="s">
        <v>1377</v>
      </c>
      <c r="E44" s="945" t="s">
        <v>101</v>
      </c>
      <c r="F44" s="945" t="s">
        <v>11</v>
      </c>
      <c r="G44" s="945" t="s">
        <v>1378</v>
      </c>
      <c r="H44" s="945" t="s">
        <v>1379</v>
      </c>
      <c r="I44" s="945" t="s">
        <v>18</v>
      </c>
      <c r="J44" s="945" t="s">
        <v>20</v>
      </c>
      <c r="K44" s="945" t="s">
        <v>1380</v>
      </c>
      <c r="L44" s="946" t="s">
        <v>1381</v>
      </c>
      <c r="N44" s="930"/>
    </row>
    <row r="45" spans="1:14" ht="31.5" x14ac:dyDescent="0.25">
      <c r="A45" s="924" t="s">
        <v>1343</v>
      </c>
      <c r="B45" s="925" t="s">
        <v>1344</v>
      </c>
      <c r="C45" s="926" t="s">
        <v>1345</v>
      </c>
      <c r="D45" s="927">
        <v>149553</v>
      </c>
      <c r="E45" s="927">
        <v>30710</v>
      </c>
      <c r="F45" s="927">
        <v>87743</v>
      </c>
      <c r="G45" s="927"/>
      <c r="H45" s="927">
        <f>-200000+1796198</f>
        <v>1596198</v>
      </c>
      <c r="I45" s="927">
        <v>80699</v>
      </c>
      <c r="J45" s="927"/>
      <c r="K45" s="927">
        <v>200000</v>
      </c>
      <c r="L45" s="928">
        <v>4601631</v>
      </c>
      <c r="N45" s="930"/>
    </row>
    <row r="46" spans="1:14" ht="31.5" x14ac:dyDescent="0.25">
      <c r="A46" s="924" t="s">
        <v>1343</v>
      </c>
      <c r="B46" s="925" t="s">
        <v>1344</v>
      </c>
      <c r="C46" s="926" t="s">
        <v>1346</v>
      </c>
      <c r="D46" s="927"/>
      <c r="E46" s="927"/>
      <c r="F46" s="927"/>
      <c r="G46" s="927"/>
      <c r="H46" s="927"/>
      <c r="I46" s="927"/>
      <c r="J46" s="927"/>
      <c r="K46" s="927"/>
      <c r="L46" s="928"/>
      <c r="N46" s="930"/>
    </row>
    <row r="47" spans="1:14" ht="31.5" hidden="1" x14ac:dyDescent="0.25">
      <c r="A47" s="924" t="s">
        <v>1343</v>
      </c>
      <c r="B47" s="925" t="s">
        <v>1344</v>
      </c>
      <c r="C47" s="926" t="s">
        <v>1345</v>
      </c>
      <c r="D47" s="934"/>
      <c r="E47" s="934"/>
      <c r="F47" s="927"/>
      <c r="G47" s="934"/>
      <c r="H47" s="927"/>
      <c r="I47" s="934"/>
      <c r="J47" s="934"/>
      <c r="K47" s="934"/>
      <c r="L47" s="947"/>
    </row>
    <row r="48" spans="1:14" ht="31.5" hidden="1" x14ac:dyDescent="0.25">
      <c r="A48" s="924" t="s">
        <v>1343</v>
      </c>
      <c r="B48" s="925" t="s">
        <v>1344</v>
      </c>
      <c r="C48" s="926" t="s">
        <v>1346</v>
      </c>
      <c r="D48" s="934"/>
      <c r="E48" s="934"/>
      <c r="F48" s="934"/>
      <c r="G48" s="934"/>
      <c r="H48" s="927"/>
      <c r="I48" s="934"/>
      <c r="J48" s="934"/>
      <c r="K48" s="927"/>
      <c r="L48" s="947"/>
    </row>
    <row r="49" spans="1:22" ht="31.5" hidden="1" x14ac:dyDescent="0.25">
      <c r="A49" s="924" t="s">
        <v>1343</v>
      </c>
      <c r="B49" s="925" t="s">
        <v>1344</v>
      </c>
      <c r="C49" s="926" t="s">
        <v>1345</v>
      </c>
      <c r="D49" s="934"/>
      <c r="E49" s="934"/>
      <c r="F49" s="927"/>
      <c r="G49" s="934"/>
      <c r="H49" s="927"/>
      <c r="I49" s="934"/>
      <c r="J49" s="934"/>
      <c r="K49" s="927"/>
      <c r="L49" s="928"/>
    </row>
    <row r="50" spans="1:22" ht="31.5" hidden="1" x14ac:dyDescent="0.25">
      <c r="A50" s="924" t="s">
        <v>1343</v>
      </c>
      <c r="B50" s="925" t="s">
        <v>1344</v>
      </c>
      <c r="C50" s="926" t="s">
        <v>1346</v>
      </c>
      <c r="D50" s="934"/>
      <c r="E50" s="934"/>
      <c r="F50" s="934"/>
      <c r="G50" s="934"/>
      <c r="H50" s="934"/>
      <c r="I50" s="934"/>
      <c r="J50" s="934"/>
      <c r="K50" s="934"/>
      <c r="L50" s="947"/>
    </row>
    <row r="51" spans="1:22" ht="31.5" hidden="1" x14ac:dyDescent="0.25">
      <c r="A51" s="924" t="s">
        <v>1343</v>
      </c>
      <c r="B51" s="925" t="s">
        <v>1344</v>
      </c>
      <c r="C51" s="926" t="s">
        <v>1345</v>
      </c>
      <c r="D51" s="927"/>
      <c r="E51" s="927"/>
      <c r="F51" s="927"/>
      <c r="G51" s="927">
        <v>0</v>
      </c>
      <c r="H51" s="927"/>
      <c r="I51" s="927"/>
      <c r="J51" s="927">
        <v>0</v>
      </c>
      <c r="K51" s="927"/>
      <c r="L51" s="928"/>
    </row>
    <row r="52" spans="1:22" ht="31.5" hidden="1" x14ac:dyDescent="0.25">
      <c r="A52" s="924" t="s">
        <v>1343</v>
      </c>
      <c r="B52" s="925" t="s">
        <v>1344</v>
      </c>
      <c r="C52" s="926" t="s">
        <v>1346</v>
      </c>
      <c r="D52" s="927"/>
      <c r="E52" s="927"/>
      <c r="F52" s="927">
        <v>0</v>
      </c>
      <c r="G52" s="927">
        <v>0</v>
      </c>
      <c r="H52" s="927"/>
      <c r="I52" s="927">
        <v>0</v>
      </c>
      <c r="J52" s="927">
        <v>0</v>
      </c>
      <c r="K52" s="927"/>
      <c r="L52" s="928"/>
    </row>
    <row r="53" spans="1:22" x14ac:dyDescent="0.25">
      <c r="A53" s="924" t="s">
        <v>1347</v>
      </c>
      <c r="B53" s="925" t="s">
        <v>1348</v>
      </c>
      <c r="C53" s="926" t="s">
        <v>1345</v>
      </c>
      <c r="D53" s="934"/>
      <c r="E53" s="934"/>
      <c r="F53" s="927">
        <v>126500</v>
      </c>
      <c r="G53" s="934"/>
      <c r="H53" s="948"/>
      <c r="I53" s="927">
        <v>55000</v>
      </c>
      <c r="J53" s="934">
        <v>5000</v>
      </c>
      <c r="K53" s="934"/>
      <c r="L53" s="947"/>
      <c r="N53" s="949"/>
      <c r="O53" s="949"/>
      <c r="P53" s="949"/>
      <c r="Q53" s="949"/>
      <c r="R53" s="949"/>
      <c r="S53" s="949"/>
      <c r="T53" s="949"/>
      <c r="U53" s="949"/>
      <c r="V53" s="949"/>
    </row>
    <row r="54" spans="1:22" x14ac:dyDescent="0.25">
      <c r="A54" s="924" t="s">
        <v>1347</v>
      </c>
      <c r="B54" s="925" t="s">
        <v>1348</v>
      </c>
      <c r="C54" s="926" t="s">
        <v>1346</v>
      </c>
      <c r="D54" s="934"/>
      <c r="E54" s="934"/>
      <c r="F54" s="934"/>
      <c r="G54" s="934"/>
      <c r="H54" s="927">
        <v>21000</v>
      </c>
      <c r="I54" s="934"/>
      <c r="J54" s="934"/>
      <c r="K54" s="927">
        <v>19792</v>
      </c>
      <c r="L54" s="947"/>
    </row>
    <row r="55" spans="1:22" x14ac:dyDescent="0.25">
      <c r="A55" s="924" t="s">
        <v>1382</v>
      </c>
      <c r="B55" s="925" t="s">
        <v>1507</v>
      </c>
      <c r="C55" s="926" t="s">
        <v>1345</v>
      </c>
      <c r="D55" s="927"/>
      <c r="E55" s="927"/>
      <c r="F55" s="927">
        <v>68500</v>
      </c>
      <c r="G55" s="927"/>
      <c r="H55" s="927"/>
      <c r="I55" s="927"/>
      <c r="J55" s="927"/>
      <c r="K55" s="927"/>
      <c r="L55" s="928"/>
    </row>
    <row r="56" spans="1:22" x14ac:dyDescent="0.25">
      <c r="A56" s="924" t="s">
        <v>1382</v>
      </c>
      <c r="B56" s="925" t="s">
        <v>1507</v>
      </c>
      <c r="C56" s="926" t="s">
        <v>1346</v>
      </c>
      <c r="D56" s="927"/>
      <c r="E56" s="927"/>
      <c r="F56" s="927"/>
      <c r="G56" s="927"/>
      <c r="H56" s="927"/>
      <c r="I56" s="927"/>
      <c r="J56" s="927"/>
      <c r="K56" s="927"/>
      <c r="L56" s="928"/>
    </row>
    <row r="57" spans="1:22" x14ac:dyDescent="0.25">
      <c r="A57" s="924" t="s">
        <v>1383</v>
      </c>
      <c r="B57" s="925" t="s">
        <v>1384</v>
      </c>
      <c r="C57" s="926" t="s">
        <v>1345</v>
      </c>
      <c r="D57" s="927"/>
      <c r="E57" s="927"/>
      <c r="F57" s="927"/>
      <c r="G57" s="927"/>
      <c r="H57" s="927"/>
      <c r="I57" s="927"/>
      <c r="J57" s="927"/>
      <c r="K57" s="927"/>
      <c r="L57" s="928">
        <v>51376</v>
      </c>
    </row>
    <row r="58" spans="1:22" x14ac:dyDescent="0.25">
      <c r="A58" s="924" t="s">
        <v>1383</v>
      </c>
      <c r="B58" s="925" t="s">
        <v>1384</v>
      </c>
      <c r="C58" s="926" t="s">
        <v>1346</v>
      </c>
      <c r="D58" s="927"/>
      <c r="E58" s="927"/>
      <c r="F58" s="927"/>
      <c r="G58" s="927"/>
      <c r="H58" s="927">
        <v>412078</v>
      </c>
      <c r="I58" s="927"/>
      <c r="J58" s="927"/>
      <c r="K58" s="927"/>
      <c r="L58" s="928"/>
    </row>
    <row r="59" spans="1:22" hidden="1" x14ac:dyDescent="0.25">
      <c r="A59" s="924" t="s">
        <v>1385</v>
      </c>
      <c r="B59" s="925" t="s">
        <v>1386</v>
      </c>
      <c r="C59" s="926" t="s">
        <v>1345</v>
      </c>
      <c r="D59" s="934"/>
      <c r="E59" s="934"/>
      <c r="F59" s="934"/>
      <c r="G59" s="934"/>
      <c r="H59" s="927"/>
      <c r="I59" s="934"/>
      <c r="J59" s="934"/>
      <c r="K59" s="927"/>
      <c r="L59" s="928"/>
    </row>
    <row r="60" spans="1:22" hidden="1" x14ac:dyDescent="0.25">
      <c r="A60" s="924" t="s">
        <v>1385</v>
      </c>
      <c r="B60" s="925" t="s">
        <v>1386</v>
      </c>
      <c r="C60" s="926" t="s">
        <v>1346</v>
      </c>
      <c r="D60" s="934"/>
      <c r="E60" s="934"/>
      <c r="F60" s="934"/>
      <c r="G60" s="934"/>
      <c r="H60" s="934"/>
      <c r="I60" s="934"/>
      <c r="J60" s="934"/>
      <c r="K60" s="934"/>
      <c r="L60" s="947"/>
    </row>
    <row r="61" spans="1:22" x14ac:dyDescent="0.25">
      <c r="A61" s="924" t="s">
        <v>1351</v>
      </c>
      <c r="B61" s="925" t="s">
        <v>1352</v>
      </c>
      <c r="C61" s="926" t="s">
        <v>1345</v>
      </c>
      <c r="D61" s="934"/>
      <c r="E61" s="934"/>
      <c r="F61" s="927">
        <v>35478</v>
      </c>
      <c r="G61" s="934"/>
      <c r="H61" s="927">
        <v>16000</v>
      </c>
      <c r="I61" s="927">
        <v>79950</v>
      </c>
      <c r="J61" s="934"/>
      <c r="K61" s="934"/>
      <c r="L61" s="947"/>
    </row>
    <row r="62" spans="1:22" x14ac:dyDescent="0.25">
      <c r="A62" s="924" t="s">
        <v>1351</v>
      </c>
      <c r="B62" s="925" t="s">
        <v>1352</v>
      </c>
      <c r="C62" s="926" t="s">
        <v>1346</v>
      </c>
      <c r="D62" s="934"/>
      <c r="E62" s="934"/>
      <c r="F62" s="934"/>
      <c r="G62" s="934"/>
      <c r="H62" s="934"/>
      <c r="I62" s="934" t="s">
        <v>1387</v>
      </c>
      <c r="J62" s="934"/>
      <c r="K62" s="934"/>
      <c r="L62" s="947"/>
    </row>
    <row r="63" spans="1:22" hidden="1" x14ac:dyDescent="0.25">
      <c r="A63" s="924" t="s">
        <v>1351</v>
      </c>
      <c r="B63" s="925" t="s">
        <v>1352</v>
      </c>
      <c r="C63" s="926" t="s">
        <v>1388</v>
      </c>
      <c r="D63" s="934"/>
      <c r="E63" s="934"/>
      <c r="F63" s="927"/>
      <c r="G63" s="934"/>
      <c r="H63" s="934"/>
      <c r="I63" s="934"/>
      <c r="J63" s="934"/>
      <c r="K63" s="934"/>
      <c r="L63" s="947"/>
    </row>
    <row r="64" spans="1:22" hidden="1" x14ac:dyDescent="0.25">
      <c r="A64" s="932" t="s">
        <v>1355</v>
      </c>
      <c r="B64" s="925" t="s">
        <v>1356</v>
      </c>
      <c r="C64" s="926" t="s">
        <v>1345</v>
      </c>
      <c r="D64" s="927"/>
      <c r="E64" s="927"/>
      <c r="F64" s="934"/>
      <c r="G64" s="934"/>
      <c r="H64" s="934"/>
      <c r="I64" s="934"/>
      <c r="J64" s="934"/>
      <c r="K64" s="934"/>
      <c r="L64" s="947"/>
    </row>
    <row r="65" spans="1:12" hidden="1" x14ac:dyDescent="0.25">
      <c r="A65" s="932" t="s">
        <v>1355</v>
      </c>
      <c r="B65" s="925" t="s">
        <v>1356</v>
      </c>
      <c r="C65" s="926" t="s">
        <v>1346</v>
      </c>
      <c r="D65" s="934"/>
      <c r="E65" s="934"/>
      <c r="F65" s="934"/>
      <c r="G65" s="934"/>
      <c r="H65" s="934"/>
      <c r="I65" s="934"/>
      <c r="J65" s="934"/>
      <c r="K65" s="934"/>
      <c r="L65" s="947"/>
    </row>
    <row r="66" spans="1:12" x14ac:dyDescent="0.25">
      <c r="A66" s="924" t="s">
        <v>1389</v>
      </c>
      <c r="B66" s="925" t="s">
        <v>1390</v>
      </c>
      <c r="C66" s="926" t="s">
        <v>1345</v>
      </c>
      <c r="D66" s="934"/>
      <c r="E66" s="934"/>
      <c r="F66" s="927">
        <v>5118</v>
      </c>
      <c r="G66" s="934"/>
      <c r="H66" s="934"/>
      <c r="I66" s="934"/>
      <c r="J66" s="934"/>
      <c r="K66" s="934"/>
      <c r="L66" s="947"/>
    </row>
    <row r="67" spans="1:12" x14ac:dyDescent="0.25">
      <c r="A67" s="924" t="s">
        <v>1389</v>
      </c>
      <c r="B67" s="925" t="s">
        <v>1390</v>
      </c>
      <c r="C67" s="926" t="s">
        <v>1346</v>
      </c>
      <c r="D67" s="934"/>
      <c r="E67" s="934"/>
      <c r="F67" s="934"/>
      <c r="G67" s="934"/>
      <c r="H67" s="934"/>
      <c r="I67" s="934"/>
      <c r="J67" s="934"/>
      <c r="K67" s="934"/>
      <c r="L67" s="947"/>
    </row>
    <row r="68" spans="1:12" ht="31.5" x14ac:dyDescent="0.25">
      <c r="A68" s="924" t="s">
        <v>1391</v>
      </c>
      <c r="B68" s="933" t="s">
        <v>1392</v>
      </c>
      <c r="C68" s="926" t="s">
        <v>1345</v>
      </c>
      <c r="D68" s="934"/>
      <c r="E68" s="934"/>
      <c r="F68" s="927">
        <v>261558</v>
      </c>
      <c r="G68" s="934"/>
      <c r="H68" s="934"/>
      <c r="I68" s="927">
        <v>3000</v>
      </c>
      <c r="J68" s="927">
        <v>10000</v>
      </c>
      <c r="K68" s="934"/>
      <c r="L68" s="947"/>
    </row>
    <row r="69" spans="1:12" ht="31.5" x14ac:dyDescent="0.25">
      <c r="A69" s="924" t="s">
        <v>1391</v>
      </c>
      <c r="B69" s="933" t="s">
        <v>1392</v>
      </c>
      <c r="C69" s="926" t="s">
        <v>1346</v>
      </c>
      <c r="D69" s="934"/>
      <c r="E69" s="934"/>
      <c r="F69" s="934"/>
      <c r="G69" s="934"/>
      <c r="H69" s="927">
        <v>30000</v>
      </c>
      <c r="I69" s="934"/>
      <c r="J69" s="934"/>
      <c r="K69" s="934"/>
      <c r="L69" s="947"/>
    </row>
    <row r="70" spans="1:12" x14ac:dyDescent="0.25">
      <c r="A70" s="924" t="s">
        <v>1357</v>
      </c>
      <c r="B70" s="925" t="s">
        <v>1358</v>
      </c>
      <c r="C70" s="926" t="s">
        <v>1345</v>
      </c>
      <c r="D70" s="934"/>
      <c r="E70" s="934"/>
      <c r="F70" s="927">
        <v>601077</v>
      </c>
      <c r="G70" s="934"/>
      <c r="H70" s="934"/>
      <c r="I70" s="934"/>
      <c r="J70" s="934"/>
      <c r="K70" s="934"/>
      <c r="L70" s="947"/>
    </row>
    <row r="71" spans="1:12" x14ac:dyDescent="0.25">
      <c r="A71" s="924" t="s">
        <v>1357</v>
      </c>
      <c r="B71" s="925" t="s">
        <v>1358</v>
      </c>
      <c r="C71" s="926" t="s">
        <v>1346</v>
      </c>
      <c r="D71" s="934"/>
      <c r="E71" s="934"/>
      <c r="F71" s="934"/>
      <c r="G71" s="934"/>
      <c r="H71" s="934"/>
      <c r="I71" s="934"/>
      <c r="J71" s="934"/>
      <c r="K71" s="934"/>
      <c r="L71" s="947"/>
    </row>
    <row r="72" spans="1:12" x14ac:dyDescent="0.25">
      <c r="A72" s="924" t="s">
        <v>1393</v>
      </c>
      <c r="B72" s="925" t="s">
        <v>1394</v>
      </c>
      <c r="C72" s="926" t="s">
        <v>1345</v>
      </c>
      <c r="D72" s="927">
        <v>10000</v>
      </c>
      <c r="E72" s="934"/>
      <c r="F72" s="927">
        <v>27000</v>
      </c>
      <c r="G72" s="934"/>
      <c r="H72" s="934"/>
      <c r="I72" s="927">
        <v>202385</v>
      </c>
      <c r="J72" s="927">
        <v>205000</v>
      </c>
      <c r="K72" s="934"/>
      <c r="L72" s="947"/>
    </row>
    <row r="73" spans="1:12" x14ac:dyDescent="0.25">
      <c r="A73" s="924" t="s">
        <v>1393</v>
      </c>
      <c r="B73" s="925" t="s">
        <v>1394</v>
      </c>
      <c r="C73" s="926" t="s">
        <v>1346</v>
      </c>
      <c r="D73" s="934"/>
      <c r="E73" s="934"/>
      <c r="F73" s="934"/>
      <c r="G73" s="934"/>
      <c r="H73" s="934"/>
      <c r="I73" s="934"/>
      <c r="J73" s="934"/>
      <c r="K73" s="934"/>
      <c r="L73" s="947"/>
    </row>
    <row r="74" spans="1:12" ht="31.5" x14ac:dyDescent="0.25">
      <c r="A74" s="924" t="s">
        <v>1359</v>
      </c>
      <c r="B74" s="933" t="s">
        <v>1360</v>
      </c>
      <c r="C74" s="926" t="s">
        <v>1345</v>
      </c>
      <c r="D74" s="934"/>
      <c r="E74" s="934"/>
      <c r="F74" s="934"/>
      <c r="G74" s="934"/>
      <c r="H74" s="927">
        <v>426913</v>
      </c>
      <c r="I74" s="927">
        <v>270000</v>
      </c>
      <c r="J74" s="927">
        <f>15000+301400</f>
        <v>316400</v>
      </c>
      <c r="K74" s="934"/>
      <c r="L74" s="947"/>
    </row>
    <row r="75" spans="1:12" ht="31.5" x14ac:dyDescent="0.25">
      <c r="A75" s="924" t="s">
        <v>1359</v>
      </c>
      <c r="B75" s="933" t="s">
        <v>1360</v>
      </c>
      <c r="C75" s="926" t="s">
        <v>1346</v>
      </c>
      <c r="D75" s="934"/>
      <c r="E75" s="934"/>
      <c r="F75" s="934"/>
      <c r="G75" s="934"/>
      <c r="H75" s="934"/>
      <c r="I75" s="934"/>
      <c r="J75" s="934"/>
      <c r="K75" s="934"/>
      <c r="L75" s="947"/>
    </row>
    <row r="76" spans="1:12" x14ac:dyDescent="0.25">
      <c r="A76" s="924" t="s">
        <v>1361</v>
      </c>
      <c r="B76" s="925" t="s">
        <v>1362</v>
      </c>
      <c r="C76" s="926" t="s">
        <v>1345</v>
      </c>
      <c r="D76" s="934"/>
      <c r="E76" s="934"/>
      <c r="F76" s="927">
        <v>248900</v>
      </c>
      <c r="G76" s="934"/>
      <c r="H76" s="927">
        <v>70000</v>
      </c>
      <c r="I76" s="927">
        <v>10000</v>
      </c>
      <c r="J76" s="934"/>
      <c r="K76" s="934"/>
      <c r="L76" s="947"/>
    </row>
    <row r="77" spans="1:12" x14ac:dyDescent="0.25">
      <c r="A77" s="924" t="s">
        <v>1361</v>
      </c>
      <c r="B77" s="925" t="s">
        <v>1362</v>
      </c>
      <c r="C77" s="926" t="s">
        <v>1346</v>
      </c>
      <c r="D77" s="934"/>
      <c r="E77" s="934"/>
      <c r="F77" s="934"/>
      <c r="G77" s="934"/>
      <c r="H77" s="934"/>
      <c r="I77" s="934"/>
      <c r="J77" s="934"/>
      <c r="K77" s="934"/>
      <c r="L77" s="947"/>
    </row>
    <row r="78" spans="1:12" x14ac:dyDescent="0.25">
      <c r="A78" s="924" t="s">
        <v>1363</v>
      </c>
      <c r="B78" s="925" t="s">
        <v>1364</v>
      </c>
      <c r="C78" s="926" t="s">
        <v>1345</v>
      </c>
      <c r="D78" s="934"/>
      <c r="E78" s="934"/>
      <c r="F78" s="927">
        <v>82136</v>
      </c>
      <c r="G78" s="934"/>
      <c r="H78" s="934"/>
      <c r="I78" s="927"/>
      <c r="J78" s="927">
        <v>29000</v>
      </c>
      <c r="K78" s="934"/>
      <c r="L78" s="947"/>
    </row>
    <row r="79" spans="1:12" x14ac:dyDescent="0.25">
      <c r="A79" s="924" t="s">
        <v>1363</v>
      </c>
      <c r="B79" s="925" t="s">
        <v>1364</v>
      </c>
      <c r="C79" s="926" t="s">
        <v>1346</v>
      </c>
      <c r="D79" s="934"/>
      <c r="E79" s="934"/>
      <c r="F79" s="934"/>
      <c r="G79" s="934"/>
      <c r="H79" s="934"/>
      <c r="I79" s="934"/>
      <c r="J79" s="934"/>
      <c r="K79" s="934"/>
      <c r="L79" s="947"/>
    </row>
    <row r="80" spans="1:12" ht="31.5" x14ac:dyDescent="0.25">
      <c r="A80" s="924" t="s">
        <v>1365</v>
      </c>
      <c r="B80" s="933" t="s">
        <v>1366</v>
      </c>
      <c r="C80" s="926" t="s">
        <v>1345</v>
      </c>
      <c r="D80" s="934"/>
      <c r="E80" s="934"/>
      <c r="F80" s="927">
        <v>168022</v>
      </c>
      <c r="G80" s="934"/>
      <c r="H80" s="934"/>
      <c r="I80" s="934"/>
      <c r="J80" s="927"/>
      <c r="K80" s="934"/>
      <c r="L80" s="947"/>
    </row>
    <row r="81" spans="1:12" ht="31.5" x14ac:dyDescent="0.25">
      <c r="A81" s="924" t="s">
        <v>1365</v>
      </c>
      <c r="B81" s="933" t="s">
        <v>1366</v>
      </c>
      <c r="C81" s="926" t="s">
        <v>1346</v>
      </c>
      <c r="D81" s="934"/>
      <c r="E81" s="934"/>
      <c r="F81" s="934"/>
      <c r="G81" s="934"/>
      <c r="H81" s="934"/>
      <c r="I81" s="934"/>
      <c r="J81" s="927">
        <v>25000</v>
      </c>
      <c r="K81" s="934"/>
      <c r="L81" s="947"/>
    </row>
    <row r="82" spans="1:12" ht="31.5" x14ac:dyDescent="0.25">
      <c r="A82" s="924" t="s">
        <v>1395</v>
      </c>
      <c r="B82" s="925" t="s">
        <v>1396</v>
      </c>
      <c r="C82" s="926" t="s">
        <v>1345</v>
      </c>
      <c r="D82" s="927">
        <v>15000</v>
      </c>
      <c r="E82" s="927"/>
      <c r="F82" s="927">
        <v>24455</v>
      </c>
      <c r="G82" s="927"/>
      <c r="H82" s="927"/>
      <c r="I82" s="927"/>
      <c r="J82" s="927"/>
      <c r="K82" s="927"/>
      <c r="L82" s="928"/>
    </row>
    <row r="83" spans="1:12" ht="31.5" x14ac:dyDescent="0.25">
      <c r="A83" s="924" t="s">
        <v>1395</v>
      </c>
      <c r="B83" s="925" t="s">
        <v>1396</v>
      </c>
      <c r="C83" s="926" t="s">
        <v>1346</v>
      </c>
      <c r="D83" s="927"/>
      <c r="E83" s="927"/>
      <c r="F83" s="927">
        <v>5000</v>
      </c>
      <c r="G83" s="927"/>
      <c r="H83" s="927">
        <v>65000</v>
      </c>
      <c r="I83" s="927"/>
      <c r="J83" s="927"/>
      <c r="K83" s="927"/>
      <c r="L83" s="928"/>
    </row>
    <row r="84" spans="1:12" x14ac:dyDescent="0.25">
      <c r="A84" s="924" t="s">
        <v>1367</v>
      </c>
      <c r="B84" s="925" t="s">
        <v>1368</v>
      </c>
      <c r="C84" s="926" t="s">
        <v>1345</v>
      </c>
      <c r="D84" s="927"/>
      <c r="E84" s="927"/>
      <c r="F84" s="927">
        <v>4888</v>
      </c>
      <c r="G84" s="927"/>
      <c r="H84" s="927"/>
      <c r="I84" s="927"/>
      <c r="J84" s="927"/>
      <c r="K84" s="927"/>
      <c r="L84" s="928"/>
    </row>
    <row r="85" spans="1:12" x14ac:dyDescent="0.25">
      <c r="A85" s="924" t="s">
        <v>1367</v>
      </c>
      <c r="B85" s="925" t="s">
        <v>1368</v>
      </c>
      <c r="C85" s="926" t="s">
        <v>1346</v>
      </c>
      <c r="D85" s="927"/>
      <c r="E85" s="927"/>
      <c r="F85" s="927">
        <v>35540</v>
      </c>
      <c r="G85" s="927"/>
      <c r="H85" s="927"/>
      <c r="I85" s="927"/>
      <c r="J85" s="927"/>
      <c r="K85" s="927"/>
      <c r="L85" s="928"/>
    </row>
    <row r="86" spans="1:12" ht="47.25" x14ac:dyDescent="0.25">
      <c r="A86" s="924" t="s">
        <v>1397</v>
      </c>
      <c r="B86" s="925" t="s">
        <v>1398</v>
      </c>
      <c r="C86" s="926" t="s">
        <v>1345</v>
      </c>
      <c r="D86" s="934"/>
      <c r="E86" s="934"/>
      <c r="F86" s="934"/>
      <c r="G86" s="934"/>
      <c r="H86" s="934"/>
      <c r="I86" s="934"/>
      <c r="J86" s="934"/>
      <c r="K86" s="934"/>
      <c r="L86" s="947"/>
    </row>
    <row r="87" spans="1:12" ht="47.25" x14ac:dyDescent="0.25">
      <c r="A87" s="924" t="s">
        <v>1397</v>
      </c>
      <c r="B87" s="925" t="s">
        <v>1398</v>
      </c>
      <c r="C87" s="926" t="s">
        <v>1346</v>
      </c>
      <c r="D87" s="934"/>
      <c r="E87" s="934"/>
      <c r="F87" s="934"/>
      <c r="G87" s="934"/>
      <c r="H87" s="927">
        <v>15000</v>
      </c>
      <c r="I87" s="934"/>
      <c r="J87" s="934"/>
      <c r="K87" s="934"/>
      <c r="L87" s="947"/>
    </row>
    <row r="88" spans="1:12" x14ac:dyDescent="0.25">
      <c r="A88" s="924" t="s">
        <v>1399</v>
      </c>
      <c r="B88" s="925" t="s">
        <v>1400</v>
      </c>
      <c r="C88" s="926" t="s">
        <v>1345</v>
      </c>
      <c r="D88" s="934"/>
      <c r="E88" s="934"/>
      <c r="F88" s="934"/>
      <c r="G88" s="934"/>
      <c r="H88" s="934"/>
      <c r="I88" s="934"/>
      <c r="J88" s="934"/>
      <c r="K88" s="934"/>
      <c r="L88" s="947"/>
    </row>
    <row r="89" spans="1:12" x14ac:dyDescent="0.25">
      <c r="A89" s="924" t="s">
        <v>1399</v>
      </c>
      <c r="B89" s="925" t="s">
        <v>1400</v>
      </c>
      <c r="C89" s="926" t="s">
        <v>1346</v>
      </c>
      <c r="D89" s="934"/>
      <c r="E89" s="934"/>
      <c r="F89" s="934"/>
      <c r="G89" s="934"/>
      <c r="H89" s="927">
        <v>96000</v>
      </c>
      <c r="I89" s="934"/>
      <c r="J89" s="934"/>
      <c r="K89" s="927"/>
      <c r="L89" s="947"/>
    </row>
    <row r="90" spans="1:12" x14ac:dyDescent="0.25">
      <c r="A90" s="924" t="s">
        <v>1401</v>
      </c>
      <c r="B90" s="925" t="s">
        <v>1402</v>
      </c>
      <c r="C90" s="926" t="s">
        <v>1345</v>
      </c>
      <c r="D90" s="934"/>
      <c r="E90" s="934"/>
      <c r="F90" s="934"/>
      <c r="G90" s="934"/>
      <c r="H90" s="934"/>
      <c r="I90" s="934"/>
      <c r="J90" s="934"/>
      <c r="K90" s="934"/>
      <c r="L90" s="947"/>
    </row>
    <row r="91" spans="1:12" x14ac:dyDescent="0.25">
      <c r="A91" s="924" t="s">
        <v>1401</v>
      </c>
      <c r="B91" s="925" t="s">
        <v>1402</v>
      </c>
      <c r="C91" s="926" t="s">
        <v>1346</v>
      </c>
      <c r="D91" s="934"/>
      <c r="E91" s="934"/>
      <c r="F91" s="934"/>
      <c r="G91" s="934"/>
      <c r="H91" s="927">
        <v>20000</v>
      </c>
      <c r="I91" s="934"/>
      <c r="J91" s="934"/>
      <c r="K91" s="934"/>
      <c r="L91" s="947"/>
    </row>
    <row r="92" spans="1:12" x14ac:dyDescent="0.25">
      <c r="A92" s="924" t="s">
        <v>1403</v>
      </c>
      <c r="B92" s="925" t="s">
        <v>1404</v>
      </c>
      <c r="C92" s="926" t="s">
        <v>1345</v>
      </c>
      <c r="D92" s="927"/>
      <c r="E92" s="927"/>
      <c r="F92" s="927"/>
      <c r="G92" s="927"/>
      <c r="H92" s="927"/>
      <c r="I92" s="927"/>
      <c r="J92" s="927"/>
      <c r="K92" s="927"/>
      <c r="L92" s="928"/>
    </row>
    <row r="93" spans="1:12" x14ac:dyDescent="0.25">
      <c r="A93" s="924" t="s">
        <v>1403</v>
      </c>
      <c r="B93" s="925" t="s">
        <v>1404</v>
      </c>
      <c r="C93" s="926" t="s">
        <v>1346</v>
      </c>
      <c r="D93" s="927"/>
      <c r="E93" s="927"/>
      <c r="F93" s="927"/>
      <c r="G93" s="927"/>
      <c r="H93" s="927"/>
      <c r="I93" s="927"/>
      <c r="J93" s="927"/>
      <c r="K93" s="927"/>
      <c r="L93" s="928"/>
    </row>
    <row r="94" spans="1:12" ht="31.5" x14ac:dyDescent="0.25">
      <c r="A94" s="924" t="s">
        <v>1405</v>
      </c>
      <c r="B94" s="925" t="s">
        <v>1406</v>
      </c>
      <c r="C94" s="926" t="s">
        <v>1345</v>
      </c>
      <c r="D94" s="927">
        <v>18000</v>
      </c>
      <c r="E94" s="927"/>
      <c r="F94" s="927">
        <v>12124</v>
      </c>
      <c r="G94" s="927"/>
      <c r="H94" s="927"/>
      <c r="I94" s="927"/>
      <c r="J94" s="927"/>
      <c r="K94" s="927"/>
      <c r="L94" s="928"/>
    </row>
    <row r="95" spans="1:12" ht="31.5" x14ac:dyDescent="0.25">
      <c r="A95" s="924" t="s">
        <v>1405</v>
      </c>
      <c r="B95" s="925" t="s">
        <v>1406</v>
      </c>
      <c r="C95" s="926" t="s">
        <v>1346</v>
      </c>
      <c r="D95" s="927"/>
      <c r="E95" s="927"/>
      <c r="F95" s="927"/>
      <c r="G95" s="927"/>
      <c r="H95" s="927"/>
      <c r="I95" s="927"/>
      <c r="J95" s="927"/>
      <c r="K95" s="927"/>
      <c r="L95" s="928"/>
    </row>
    <row r="96" spans="1:12" x14ac:dyDescent="0.25">
      <c r="A96" s="924" t="s">
        <v>1407</v>
      </c>
      <c r="B96" s="925" t="s">
        <v>1408</v>
      </c>
      <c r="C96" s="926" t="s">
        <v>1345</v>
      </c>
      <c r="D96" s="927"/>
      <c r="E96" s="927"/>
      <c r="F96" s="927"/>
      <c r="G96" s="927"/>
      <c r="H96" s="927"/>
      <c r="I96" s="927"/>
      <c r="J96" s="927"/>
      <c r="K96" s="927"/>
      <c r="L96" s="928"/>
    </row>
    <row r="97" spans="1:14" x14ac:dyDescent="0.25">
      <c r="A97" s="924" t="s">
        <v>1407</v>
      </c>
      <c r="B97" s="925" t="s">
        <v>1408</v>
      </c>
      <c r="C97" s="926" t="s">
        <v>1346</v>
      </c>
      <c r="D97" s="927">
        <v>12826</v>
      </c>
      <c r="E97" s="927"/>
      <c r="F97" s="927">
        <v>17822</v>
      </c>
      <c r="G97" s="927"/>
      <c r="H97" s="927"/>
      <c r="I97" s="927"/>
      <c r="J97" s="927"/>
      <c r="K97" s="927"/>
      <c r="L97" s="928"/>
    </row>
    <row r="98" spans="1:14" ht="31.5" x14ac:dyDescent="0.25">
      <c r="A98" s="924" t="s">
        <v>1409</v>
      </c>
      <c r="B98" s="925" t="s">
        <v>1410</v>
      </c>
      <c r="C98" s="926" t="s">
        <v>1345</v>
      </c>
      <c r="D98" s="934"/>
      <c r="E98" s="934"/>
      <c r="F98" s="927">
        <v>15275</v>
      </c>
      <c r="G98" s="934"/>
      <c r="H98" s="927"/>
      <c r="I98" s="934"/>
      <c r="J98" s="934"/>
      <c r="K98" s="934"/>
      <c r="L98" s="947"/>
    </row>
    <row r="99" spans="1:14" ht="31.5" x14ac:dyDescent="0.25">
      <c r="A99" s="924" t="s">
        <v>1409</v>
      </c>
      <c r="B99" s="925" t="s">
        <v>1410</v>
      </c>
      <c r="C99" s="926" t="s">
        <v>1346</v>
      </c>
      <c r="D99" s="934"/>
      <c r="E99" s="934"/>
      <c r="F99" s="934"/>
      <c r="G99" s="934"/>
      <c r="H99" s="927">
        <v>20000</v>
      </c>
      <c r="I99" s="934"/>
      <c r="J99" s="934"/>
      <c r="K99" s="934"/>
      <c r="L99" s="947"/>
    </row>
    <row r="100" spans="1:14" x14ac:dyDescent="0.25">
      <c r="A100" s="924" t="s">
        <v>1411</v>
      </c>
      <c r="B100" s="925" t="s">
        <v>1412</v>
      </c>
      <c r="C100" s="926" t="s">
        <v>1345</v>
      </c>
      <c r="D100" s="934"/>
      <c r="E100" s="934"/>
      <c r="F100" s="934"/>
      <c r="G100" s="934"/>
      <c r="H100" s="927">
        <v>2000</v>
      </c>
      <c r="I100" s="934"/>
      <c r="J100" s="934"/>
      <c r="K100" s="934"/>
      <c r="L100" s="947"/>
    </row>
    <row r="101" spans="1:14" x14ac:dyDescent="0.25">
      <c r="A101" s="924" t="s">
        <v>1411</v>
      </c>
      <c r="B101" s="925" t="s">
        <v>1412</v>
      </c>
      <c r="C101" s="926" t="s">
        <v>1346</v>
      </c>
      <c r="D101" s="934"/>
      <c r="E101" s="934"/>
      <c r="F101" s="934"/>
      <c r="G101" s="934"/>
      <c r="H101" s="934">
        <v>4725</v>
      </c>
      <c r="I101" s="934"/>
      <c r="J101" s="934"/>
      <c r="K101" s="934"/>
      <c r="L101" s="947"/>
    </row>
    <row r="102" spans="1:14" ht="47.25" x14ac:dyDescent="0.25">
      <c r="A102" s="924" t="s">
        <v>1413</v>
      </c>
      <c r="B102" s="925" t="s">
        <v>1414</v>
      </c>
      <c r="C102" s="926" t="s">
        <v>1345</v>
      </c>
      <c r="D102" s="934"/>
      <c r="E102" s="934"/>
      <c r="F102" s="927">
        <v>3055</v>
      </c>
      <c r="G102" s="934"/>
      <c r="H102" s="927"/>
      <c r="I102" s="934"/>
      <c r="J102" s="934"/>
      <c r="K102" s="934"/>
      <c r="L102" s="947"/>
    </row>
    <row r="103" spans="1:14" ht="47.25" x14ac:dyDescent="0.25">
      <c r="A103" s="924" t="s">
        <v>1413</v>
      </c>
      <c r="B103" s="925" t="s">
        <v>1414</v>
      </c>
      <c r="C103" s="926" t="s">
        <v>1346</v>
      </c>
      <c r="D103" s="934"/>
      <c r="E103" s="934"/>
      <c r="F103" s="934"/>
      <c r="G103" s="934"/>
      <c r="H103" s="934"/>
      <c r="I103" s="934"/>
      <c r="J103" s="934"/>
      <c r="K103" s="934"/>
      <c r="L103" s="947"/>
    </row>
    <row r="104" spans="1:14" ht="31.5" x14ac:dyDescent="0.25">
      <c r="A104" s="924" t="s">
        <v>1415</v>
      </c>
      <c r="B104" s="925" t="s">
        <v>1416</v>
      </c>
      <c r="C104" s="926" t="s">
        <v>1345</v>
      </c>
      <c r="D104" s="934"/>
      <c r="E104" s="934"/>
      <c r="F104" s="934"/>
      <c r="G104" s="927">
        <v>5000</v>
      </c>
      <c r="H104" s="927">
        <v>1000</v>
      </c>
      <c r="I104" s="934"/>
      <c r="J104" s="934"/>
      <c r="K104" s="934"/>
      <c r="L104" s="947"/>
    </row>
    <row r="105" spans="1:14" ht="31.5" x14ac:dyDescent="0.25">
      <c r="A105" s="924" t="s">
        <v>1415</v>
      </c>
      <c r="B105" s="925" t="s">
        <v>1416</v>
      </c>
      <c r="C105" s="926" t="s">
        <v>1346</v>
      </c>
      <c r="D105" s="934"/>
      <c r="E105" s="934"/>
      <c r="F105" s="934"/>
      <c r="G105" s="934"/>
      <c r="H105" s="927">
        <v>20000</v>
      </c>
      <c r="I105" s="934"/>
      <c r="J105" s="934"/>
      <c r="K105" s="934"/>
      <c r="L105" s="947"/>
    </row>
    <row r="106" spans="1:14" ht="31.5" x14ac:dyDescent="0.25">
      <c r="A106" s="924" t="s">
        <v>1417</v>
      </c>
      <c r="B106" s="925" t="s">
        <v>1418</v>
      </c>
      <c r="C106" s="926" t="s">
        <v>1345</v>
      </c>
      <c r="D106" s="934"/>
      <c r="E106" s="934"/>
      <c r="F106" s="934"/>
      <c r="G106" s="927">
        <v>5200</v>
      </c>
      <c r="H106" s="934"/>
      <c r="I106" s="934"/>
      <c r="J106" s="934"/>
      <c r="K106" s="934"/>
      <c r="L106" s="947"/>
    </row>
    <row r="107" spans="1:14" ht="31.5" x14ac:dyDescent="0.25">
      <c r="A107" s="924" t="s">
        <v>1417</v>
      </c>
      <c r="B107" s="925" t="s">
        <v>1418</v>
      </c>
      <c r="C107" s="926" t="s">
        <v>1346</v>
      </c>
      <c r="D107" s="934"/>
      <c r="E107" s="934"/>
      <c r="F107" s="934"/>
      <c r="G107" s="934"/>
      <c r="H107" s="934"/>
      <c r="I107" s="934"/>
      <c r="J107" s="934"/>
      <c r="K107" s="934"/>
      <c r="L107" s="947"/>
    </row>
    <row r="108" spans="1:14" ht="31.5" x14ac:dyDescent="0.25">
      <c r="A108" s="924" t="s">
        <v>1369</v>
      </c>
      <c r="B108" s="925" t="s">
        <v>1370</v>
      </c>
      <c r="C108" s="926" t="s">
        <v>1345</v>
      </c>
      <c r="D108" s="934"/>
      <c r="E108" s="934"/>
      <c r="F108" s="934"/>
      <c r="G108" s="927">
        <v>11200</v>
      </c>
      <c r="H108" s="934"/>
      <c r="I108" s="934"/>
      <c r="J108" s="934"/>
      <c r="K108" s="934"/>
      <c r="L108" s="947"/>
    </row>
    <row r="109" spans="1:14" ht="31.5" x14ac:dyDescent="0.25">
      <c r="A109" s="924" t="s">
        <v>1369</v>
      </c>
      <c r="B109" s="925" t="s">
        <v>1370</v>
      </c>
      <c r="C109" s="926" t="s">
        <v>1346</v>
      </c>
      <c r="D109" s="934"/>
      <c r="E109" s="934"/>
      <c r="F109" s="927">
        <v>23824</v>
      </c>
      <c r="G109" s="927">
        <v>165100</v>
      </c>
      <c r="H109" s="927">
        <v>5000</v>
      </c>
      <c r="I109" s="934"/>
      <c r="J109" s="934"/>
      <c r="K109" s="934"/>
      <c r="L109" s="947"/>
    </row>
    <row r="110" spans="1:14" ht="31.5" x14ac:dyDescent="0.25">
      <c r="A110" s="924" t="s">
        <v>1374</v>
      </c>
      <c r="B110" s="925" t="s">
        <v>1375</v>
      </c>
      <c r="C110" s="926" t="s">
        <v>1345</v>
      </c>
      <c r="D110" s="934"/>
      <c r="E110" s="934"/>
      <c r="F110" s="934"/>
      <c r="G110" s="934"/>
      <c r="H110" s="934"/>
      <c r="I110" s="934"/>
      <c r="J110" s="934"/>
      <c r="K110" s="934"/>
      <c r="L110" s="947">
        <v>1100000</v>
      </c>
      <c r="N110" s="930"/>
    </row>
    <row r="111" spans="1:14" ht="32.25" thickBot="1" x14ac:dyDescent="0.3">
      <c r="A111" s="935" t="s">
        <v>1374</v>
      </c>
      <c r="B111" s="936" t="s">
        <v>1375</v>
      </c>
      <c r="C111" s="937" t="s">
        <v>1346</v>
      </c>
      <c r="D111" s="950"/>
      <c r="E111" s="950"/>
      <c r="F111" s="938">
        <v>326116</v>
      </c>
      <c r="G111" s="950"/>
      <c r="H111" s="950"/>
      <c r="I111" s="950"/>
      <c r="J111" s="950"/>
      <c r="K111" s="950"/>
      <c r="L111" s="939"/>
      <c r="N111" s="930"/>
    </row>
    <row r="112" spans="1:14" ht="16.5" thickTop="1" x14ac:dyDescent="0.25">
      <c r="A112" s="940" t="s">
        <v>1419</v>
      </c>
      <c r="B112" s="951"/>
      <c r="C112" s="952"/>
      <c r="D112" s="941"/>
      <c r="E112" s="941"/>
      <c r="F112" s="953"/>
      <c r="G112" s="941"/>
      <c r="H112" s="941"/>
      <c r="I112" s="941"/>
      <c r="J112" s="941"/>
      <c r="K112" s="942"/>
      <c r="L112" s="954"/>
    </row>
    <row r="113" spans="1:12" ht="63" x14ac:dyDescent="0.25">
      <c r="A113" s="943" t="s">
        <v>1333</v>
      </c>
      <c r="B113" s="944" t="s">
        <v>1334</v>
      </c>
      <c r="C113" s="945" t="s">
        <v>1335</v>
      </c>
      <c r="D113" s="945" t="s">
        <v>1336</v>
      </c>
      <c r="E113" s="945" t="s">
        <v>1337</v>
      </c>
      <c r="F113" s="945" t="s">
        <v>8</v>
      </c>
      <c r="G113" s="945" t="s">
        <v>1338</v>
      </c>
      <c r="H113" s="945" t="s">
        <v>1339</v>
      </c>
      <c r="I113" s="945" t="s">
        <v>1340</v>
      </c>
      <c r="J113" s="945" t="s">
        <v>1341</v>
      </c>
      <c r="K113" s="946" t="s">
        <v>1342</v>
      </c>
    </row>
    <row r="114" spans="1:12" ht="31.5" x14ac:dyDescent="0.25">
      <c r="A114" s="924" t="s">
        <v>1343</v>
      </c>
      <c r="B114" s="925" t="s">
        <v>1344</v>
      </c>
      <c r="C114" s="926" t="s">
        <v>1345</v>
      </c>
      <c r="D114" s="934"/>
      <c r="E114" s="927"/>
      <c r="F114" s="927"/>
      <c r="G114" s="927">
        <v>12160</v>
      </c>
      <c r="H114" s="927"/>
      <c r="I114" s="927"/>
      <c r="J114" s="927"/>
      <c r="K114" s="928"/>
    </row>
    <row r="115" spans="1:12" ht="31.5" x14ac:dyDescent="0.25">
      <c r="A115" s="924" t="s">
        <v>1343</v>
      </c>
      <c r="B115" s="925" t="s">
        <v>1344</v>
      </c>
      <c r="C115" s="926" t="s">
        <v>1346</v>
      </c>
      <c r="D115" s="934"/>
      <c r="E115" s="927"/>
      <c r="F115" s="927"/>
      <c r="G115" s="927"/>
      <c r="H115" s="927"/>
      <c r="I115" s="927"/>
      <c r="J115" s="927"/>
      <c r="K115" s="928">
        <v>300000</v>
      </c>
    </row>
    <row r="116" spans="1:12" ht="16.5" thickBot="1" x14ac:dyDescent="0.3">
      <c r="A116" s="955" t="s">
        <v>1385</v>
      </c>
      <c r="B116" s="936" t="s">
        <v>1386</v>
      </c>
      <c r="C116" s="956" t="s">
        <v>1345</v>
      </c>
      <c r="D116" s="938">
        <v>0</v>
      </c>
      <c r="E116" s="938">
        <v>0</v>
      </c>
      <c r="F116" s="938">
        <v>0</v>
      </c>
      <c r="G116" s="938">
        <v>0</v>
      </c>
      <c r="H116" s="938">
        <v>0</v>
      </c>
      <c r="I116" s="938">
        <v>0</v>
      </c>
      <c r="J116" s="938">
        <v>0</v>
      </c>
      <c r="K116" s="939">
        <v>1219690</v>
      </c>
    </row>
    <row r="117" spans="1:12" ht="17.25" thickTop="1" thickBot="1" x14ac:dyDescent="0.3">
      <c r="A117" s="916" t="s">
        <v>1420</v>
      </c>
      <c r="B117" s="957"/>
      <c r="C117" s="958"/>
      <c r="D117" s="959"/>
      <c r="E117" s="954"/>
      <c r="F117" s="954"/>
      <c r="G117" s="954"/>
      <c r="H117" s="954"/>
      <c r="I117" s="954"/>
      <c r="J117" s="954"/>
      <c r="K117" s="954"/>
    </row>
    <row r="118" spans="1:12" ht="63.75" thickTop="1" x14ac:dyDescent="0.25">
      <c r="A118" s="920" t="s">
        <v>1333</v>
      </c>
      <c r="B118" s="921" t="s">
        <v>1334</v>
      </c>
      <c r="C118" s="922" t="s">
        <v>1335</v>
      </c>
      <c r="D118" s="922" t="s">
        <v>1377</v>
      </c>
      <c r="E118" s="922" t="s">
        <v>101</v>
      </c>
      <c r="F118" s="922" t="s">
        <v>11</v>
      </c>
      <c r="G118" s="922" t="s">
        <v>1378</v>
      </c>
      <c r="H118" s="922" t="s">
        <v>1379</v>
      </c>
      <c r="I118" s="922" t="s">
        <v>18</v>
      </c>
      <c r="J118" s="922" t="s">
        <v>20</v>
      </c>
      <c r="K118" s="922" t="s">
        <v>1380</v>
      </c>
      <c r="L118" s="923" t="s">
        <v>1381</v>
      </c>
    </row>
    <row r="119" spans="1:12" ht="31.5" x14ac:dyDescent="0.25">
      <c r="A119" s="924" t="s">
        <v>1343</v>
      </c>
      <c r="B119" s="925" t="s">
        <v>1344</v>
      </c>
      <c r="C119" s="926" t="s">
        <v>1345</v>
      </c>
      <c r="D119" s="927">
        <f>986123-300000</f>
        <v>686123</v>
      </c>
      <c r="E119" s="927">
        <v>142632</v>
      </c>
      <c r="F119" s="927">
        <f>289137-6519</f>
        <v>282618</v>
      </c>
      <c r="G119" s="927">
        <v>0</v>
      </c>
      <c r="H119" s="927">
        <v>0</v>
      </c>
      <c r="I119" s="927">
        <v>35250</v>
      </c>
      <c r="J119" s="927">
        <v>31750</v>
      </c>
      <c r="K119" s="927">
        <v>0</v>
      </c>
      <c r="L119" s="928">
        <v>0</v>
      </c>
    </row>
    <row r="120" spans="1:12" ht="31.5" x14ac:dyDescent="0.25">
      <c r="A120" s="924" t="s">
        <v>1343</v>
      </c>
      <c r="B120" s="925" t="s">
        <v>1344</v>
      </c>
      <c r="C120" s="926" t="s">
        <v>1346</v>
      </c>
      <c r="D120" s="934"/>
      <c r="E120" s="934"/>
      <c r="F120" s="934"/>
      <c r="G120" s="934"/>
      <c r="H120" s="934"/>
      <c r="I120" s="934"/>
      <c r="J120" s="934"/>
      <c r="K120" s="934"/>
      <c r="L120" s="947"/>
    </row>
    <row r="121" spans="1:12" x14ac:dyDescent="0.25">
      <c r="A121" s="924" t="s">
        <v>1351</v>
      </c>
      <c r="B121" s="925" t="s">
        <v>1352</v>
      </c>
      <c r="C121" s="926" t="s">
        <v>1345</v>
      </c>
      <c r="D121" s="927">
        <v>300000</v>
      </c>
      <c r="E121" s="927"/>
      <c r="F121" s="927">
        <v>28127</v>
      </c>
      <c r="G121" s="927"/>
      <c r="H121" s="927"/>
      <c r="I121" s="927">
        <v>25350</v>
      </c>
      <c r="J121" s="927"/>
      <c r="K121" s="927"/>
      <c r="L121" s="928"/>
    </row>
    <row r="122" spans="1:12" x14ac:dyDescent="0.25">
      <c r="A122" s="924" t="s">
        <v>1351</v>
      </c>
      <c r="B122" s="925" t="s">
        <v>1352</v>
      </c>
      <c r="C122" s="926" t="s">
        <v>1346</v>
      </c>
      <c r="D122" s="927"/>
      <c r="E122" s="927"/>
      <c r="F122" s="927"/>
      <c r="G122" s="927"/>
      <c r="H122" s="927"/>
      <c r="I122" s="927"/>
      <c r="J122" s="927"/>
      <c r="K122" s="927"/>
      <c r="L122" s="928"/>
    </row>
    <row r="123" spans="1:12" x14ac:dyDescent="0.25">
      <c r="A123" s="924" t="s">
        <v>1367</v>
      </c>
      <c r="B123" s="925" t="s">
        <v>1368</v>
      </c>
      <c r="C123" s="926" t="s">
        <v>1345</v>
      </c>
      <c r="D123" s="927"/>
      <c r="E123" s="927"/>
      <c r="F123" s="927"/>
      <c r="G123" s="927"/>
      <c r="H123" s="927"/>
      <c r="I123" s="927"/>
      <c r="J123" s="927"/>
      <c r="K123" s="927"/>
      <c r="L123" s="928"/>
    </row>
    <row r="124" spans="1:12" ht="16.5" thickBot="1" x14ac:dyDescent="0.3">
      <c r="A124" s="935" t="s">
        <v>1367</v>
      </c>
      <c r="B124" s="936" t="s">
        <v>1368</v>
      </c>
      <c r="C124" s="937" t="s">
        <v>1346</v>
      </c>
      <c r="D124" s="938"/>
      <c r="E124" s="938"/>
      <c r="F124" s="938"/>
      <c r="G124" s="938"/>
      <c r="H124" s="938"/>
      <c r="I124" s="938"/>
      <c r="J124" s="938"/>
      <c r="K124" s="938"/>
      <c r="L124" s="939"/>
    </row>
    <row r="125" spans="1:12" ht="17.25" thickTop="1" thickBot="1" x14ac:dyDescent="0.3">
      <c r="A125" s="916" t="s">
        <v>1421</v>
      </c>
    </row>
    <row r="126" spans="1:12" ht="63.75" thickTop="1" x14ac:dyDescent="0.25">
      <c r="A126" s="920" t="s">
        <v>1333</v>
      </c>
      <c r="B126" s="921" t="s">
        <v>1334</v>
      </c>
      <c r="C126" s="922" t="s">
        <v>1335</v>
      </c>
      <c r="D126" s="922" t="s">
        <v>1336</v>
      </c>
      <c r="E126" s="922" t="s">
        <v>1337</v>
      </c>
      <c r="F126" s="922" t="s">
        <v>8</v>
      </c>
      <c r="G126" s="922" t="s">
        <v>1338</v>
      </c>
      <c r="H126" s="922" t="s">
        <v>1339</v>
      </c>
      <c r="I126" s="922" t="s">
        <v>1340</v>
      </c>
      <c r="J126" s="922" t="s">
        <v>1341</v>
      </c>
      <c r="K126" s="923" t="s">
        <v>1342</v>
      </c>
    </row>
    <row r="127" spans="1:12" x14ac:dyDescent="0.25">
      <c r="A127" s="932" t="s">
        <v>1347</v>
      </c>
      <c r="B127" s="925" t="s">
        <v>1348</v>
      </c>
      <c r="C127" s="960" t="s">
        <v>1345</v>
      </c>
      <c r="D127" s="927">
        <v>0</v>
      </c>
      <c r="E127" s="927">
        <v>0</v>
      </c>
      <c r="F127" s="927">
        <v>0</v>
      </c>
      <c r="G127" s="927">
        <v>557623</v>
      </c>
      <c r="H127" s="927">
        <v>0</v>
      </c>
      <c r="I127" s="927">
        <v>0</v>
      </c>
      <c r="J127" s="927">
        <v>0</v>
      </c>
      <c r="K127" s="928">
        <v>0</v>
      </c>
    </row>
    <row r="128" spans="1:12" ht="47.25" x14ac:dyDescent="0.25">
      <c r="A128" s="932" t="s">
        <v>1422</v>
      </c>
      <c r="B128" s="925" t="s">
        <v>1423</v>
      </c>
      <c r="C128" s="960" t="s">
        <v>1345</v>
      </c>
      <c r="D128" s="927">
        <v>0</v>
      </c>
      <c r="E128" s="927">
        <v>0</v>
      </c>
      <c r="F128" s="927">
        <v>0</v>
      </c>
      <c r="G128" s="927">
        <v>2605</v>
      </c>
      <c r="H128" s="927">
        <v>0</v>
      </c>
      <c r="I128" s="927">
        <v>0</v>
      </c>
      <c r="J128" s="927">
        <v>0</v>
      </c>
      <c r="K128" s="928">
        <v>0</v>
      </c>
    </row>
    <row r="129" spans="1:12" x14ac:dyDescent="0.25">
      <c r="A129" s="932" t="s">
        <v>1385</v>
      </c>
      <c r="B129" s="925" t="s">
        <v>1386</v>
      </c>
      <c r="C129" s="960" t="s">
        <v>1345</v>
      </c>
      <c r="D129" s="927">
        <v>0</v>
      </c>
      <c r="E129" s="927">
        <v>0</v>
      </c>
      <c r="F129" s="927">
        <v>0</v>
      </c>
      <c r="G129" s="927">
        <v>0</v>
      </c>
      <c r="H129" s="927">
        <v>0</v>
      </c>
      <c r="I129" s="927">
        <v>0</v>
      </c>
      <c r="J129" s="927">
        <v>0</v>
      </c>
      <c r="K129" s="928">
        <v>2622188</v>
      </c>
    </row>
    <row r="130" spans="1:12" x14ac:dyDescent="0.25">
      <c r="A130" s="932" t="s">
        <v>1363</v>
      </c>
      <c r="B130" s="925" t="s">
        <v>1424</v>
      </c>
      <c r="C130" s="960" t="s">
        <v>1345</v>
      </c>
      <c r="D130" s="927">
        <v>0</v>
      </c>
      <c r="E130" s="927">
        <v>0</v>
      </c>
      <c r="F130" s="927">
        <v>0</v>
      </c>
      <c r="G130" s="927">
        <v>0</v>
      </c>
      <c r="H130" s="927">
        <v>0</v>
      </c>
      <c r="I130" s="927">
        <v>0</v>
      </c>
      <c r="J130" s="927">
        <v>0</v>
      </c>
      <c r="K130" s="928">
        <v>0</v>
      </c>
    </row>
    <row r="131" spans="1:12" x14ac:dyDescent="0.25">
      <c r="A131" s="932" t="s">
        <v>1425</v>
      </c>
      <c r="B131" s="925" t="s">
        <v>1426</v>
      </c>
      <c r="C131" s="960" t="s">
        <v>1346</v>
      </c>
      <c r="D131" s="927">
        <v>0</v>
      </c>
      <c r="E131" s="927">
        <v>0</v>
      </c>
      <c r="F131" s="927">
        <v>0</v>
      </c>
      <c r="G131" s="927">
        <v>14803</v>
      </c>
      <c r="H131" s="927">
        <v>0</v>
      </c>
      <c r="I131" s="927">
        <v>0</v>
      </c>
      <c r="J131" s="927">
        <v>0</v>
      </c>
      <c r="K131" s="928">
        <v>0</v>
      </c>
    </row>
    <row r="132" spans="1:12" ht="31.5" x14ac:dyDescent="0.25">
      <c r="A132" s="932" t="s">
        <v>1427</v>
      </c>
      <c r="B132" s="925" t="s">
        <v>1428</v>
      </c>
      <c r="C132" s="960" t="s">
        <v>1345</v>
      </c>
      <c r="D132" s="927">
        <v>0</v>
      </c>
      <c r="E132" s="927">
        <v>0</v>
      </c>
      <c r="F132" s="927">
        <v>0</v>
      </c>
      <c r="G132" s="927">
        <v>103690</v>
      </c>
      <c r="H132" s="927">
        <v>0</v>
      </c>
      <c r="I132" s="927">
        <v>0</v>
      </c>
      <c r="J132" s="927">
        <v>0</v>
      </c>
      <c r="K132" s="928">
        <v>0</v>
      </c>
    </row>
    <row r="133" spans="1:12" ht="31.5" x14ac:dyDescent="0.25">
      <c r="A133" s="932" t="s">
        <v>1429</v>
      </c>
      <c r="B133" s="925" t="s">
        <v>1430</v>
      </c>
      <c r="C133" s="960" t="s">
        <v>1345</v>
      </c>
      <c r="D133" s="927">
        <v>0</v>
      </c>
      <c r="E133" s="927">
        <v>0</v>
      </c>
      <c r="F133" s="927">
        <v>0</v>
      </c>
      <c r="G133" s="927">
        <v>1995</v>
      </c>
      <c r="H133" s="927">
        <v>0</v>
      </c>
      <c r="I133" s="927">
        <v>0</v>
      </c>
      <c r="J133" s="927">
        <v>0</v>
      </c>
      <c r="K133" s="928">
        <v>0</v>
      </c>
    </row>
    <row r="134" spans="1:12" ht="31.5" x14ac:dyDescent="0.25">
      <c r="A134" s="961" t="s">
        <v>1431</v>
      </c>
      <c r="B134" s="962" t="s">
        <v>1432</v>
      </c>
      <c r="C134" s="963" t="s">
        <v>1345</v>
      </c>
      <c r="D134" s="964"/>
      <c r="E134" s="964"/>
      <c r="F134" s="964"/>
      <c r="G134" s="964">
        <v>496296</v>
      </c>
      <c r="H134" s="964"/>
      <c r="I134" s="964"/>
      <c r="J134" s="964"/>
      <c r="K134" s="965"/>
    </row>
    <row r="135" spans="1:12" ht="32.25" thickBot="1" x14ac:dyDescent="0.3">
      <c r="A135" s="966" t="s">
        <v>1433</v>
      </c>
      <c r="B135" s="936" t="s">
        <v>1434</v>
      </c>
      <c r="C135" s="937" t="s">
        <v>1346</v>
      </c>
      <c r="D135" s="938">
        <v>0</v>
      </c>
      <c r="E135" s="938">
        <v>0</v>
      </c>
      <c r="F135" s="938">
        <v>0</v>
      </c>
      <c r="G135" s="938">
        <v>7220</v>
      </c>
      <c r="H135" s="938">
        <v>0</v>
      </c>
      <c r="I135" s="938">
        <v>0</v>
      </c>
      <c r="J135" s="938">
        <v>0</v>
      </c>
      <c r="K135" s="939">
        <v>0</v>
      </c>
    </row>
    <row r="136" spans="1:12" ht="17.25" thickTop="1" thickBot="1" x14ac:dyDescent="0.3">
      <c r="A136" s="916" t="s">
        <v>1435</v>
      </c>
    </row>
    <row r="137" spans="1:12" ht="63.75" thickTop="1" x14ac:dyDescent="0.25">
      <c r="A137" s="920" t="s">
        <v>1333</v>
      </c>
      <c r="B137" s="921" t="s">
        <v>1334</v>
      </c>
      <c r="C137" s="922" t="s">
        <v>1335</v>
      </c>
      <c r="D137" s="922" t="s">
        <v>1377</v>
      </c>
      <c r="E137" s="922" t="s">
        <v>101</v>
      </c>
      <c r="F137" s="922" t="s">
        <v>11</v>
      </c>
      <c r="G137" s="922" t="s">
        <v>1378</v>
      </c>
      <c r="H137" s="922" t="s">
        <v>1379</v>
      </c>
      <c r="I137" s="922" t="s">
        <v>18</v>
      </c>
      <c r="J137" s="922" t="s">
        <v>20</v>
      </c>
      <c r="K137" s="922" t="s">
        <v>1380</v>
      </c>
      <c r="L137" s="923" t="s">
        <v>1381</v>
      </c>
    </row>
    <row r="138" spans="1:12" x14ac:dyDescent="0.25">
      <c r="A138" s="967" t="s">
        <v>1347</v>
      </c>
      <c r="B138" s="925" t="s">
        <v>1348</v>
      </c>
      <c r="C138" s="926" t="s">
        <v>1345</v>
      </c>
      <c r="D138" s="927">
        <v>84089</v>
      </c>
      <c r="E138" s="927">
        <v>11918</v>
      </c>
      <c r="F138" s="927">
        <v>388162</v>
      </c>
      <c r="G138" s="934">
        <v>0</v>
      </c>
      <c r="H138" s="934">
        <v>0</v>
      </c>
      <c r="I138" s="927">
        <v>5000</v>
      </c>
      <c r="J138" s="927">
        <v>500000</v>
      </c>
      <c r="K138" s="927">
        <v>0</v>
      </c>
      <c r="L138" s="928"/>
    </row>
    <row r="139" spans="1:12" ht="47.25" x14ac:dyDescent="0.25">
      <c r="A139" s="967" t="s">
        <v>1422</v>
      </c>
      <c r="B139" s="925" t="s">
        <v>1423</v>
      </c>
      <c r="C139" s="926" t="s">
        <v>1345</v>
      </c>
      <c r="D139" s="927">
        <v>33161</v>
      </c>
      <c r="E139" s="927">
        <v>5912</v>
      </c>
      <c r="F139" s="927">
        <v>43151</v>
      </c>
      <c r="G139" s="934">
        <v>0</v>
      </c>
      <c r="H139" s="934">
        <v>0</v>
      </c>
      <c r="I139" s="927">
        <v>10629</v>
      </c>
      <c r="J139" s="927">
        <v>0</v>
      </c>
      <c r="K139" s="927">
        <v>0</v>
      </c>
      <c r="L139" s="928"/>
    </row>
    <row r="140" spans="1:12" x14ac:dyDescent="0.25">
      <c r="A140" s="967" t="s">
        <v>1363</v>
      </c>
      <c r="B140" s="925" t="s">
        <v>1424</v>
      </c>
      <c r="C140" s="926" t="s">
        <v>1345</v>
      </c>
      <c r="D140" s="927">
        <v>124175</v>
      </c>
      <c r="E140" s="927">
        <v>16495</v>
      </c>
      <c r="F140" s="927">
        <v>54410</v>
      </c>
      <c r="G140" s="934">
        <v>0</v>
      </c>
      <c r="H140" s="934">
        <v>0</v>
      </c>
      <c r="I140" s="927">
        <v>193685</v>
      </c>
      <c r="J140" s="927">
        <v>0</v>
      </c>
      <c r="K140" s="927">
        <v>0</v>
      </c>
      <c r="L140" s="928"/>
    </row>
    <row r="141" spans="1:12" x14ac:dyDescent="0.25">
      <c r="A141" s="967" t="s">
        <v>1425</v>
      </c>
      <c r="B141" s="925" t="s">
        <v>1426</v>
      </c>
      <c r="C141" s="926" t="s">
        <v>1346</v>
      </c>
      <c r="D141" s="927">
        <v>49272</v>
      </c>
      <c r="E141" s="927">
        <v>6765</v>
      </c>
      <c r="F141" s="927">
        <v>99341</v>
      </c>
      <c r="G141" s="934">
        <v>0</v>
      </c>
      <c r="H141" s="934">
        <v>0</v>
      </c>
      <c r="I141" s="927">
        <v>4701</v>
      </c>
      <c r="J141" s="927">
        <f>22824+17901</f>
        <v>40725</v>
      </c>
      <c r="K141" s="927">
        <v>0</v>
      </c>
      <c r="L141" s="928"/>
    </row>
    <row r="142" spans="1:12" ht="31.5" x14ac:dyDescent="0.25">
      <c r="A142" s="967" t="s">
        <v>1427</v>
      </c>
      <c r="B142" s="925" t="s">
        <v>1428</v>
      </c>
      <c r="C142" s="926" t="s">
        <v>1345</v>
      </c>
      <c r="D142" s="927">
        <v>173018</v>
      </c>
      <c r="E142" s="927">
        <v>24371</v>
      </c>
      <c r="F142" s="927">
        <v>215927</v>
      </c>
      <c r="G142" s="934">
        <v>0</v>
      </c>
      <c r="H142" s="934">
        <v>0</v>
      </c>
      <c r="I142" s="927">
        <v>2000</v>
      </c>
      <c r="J142" s="927">
        <v>0</v>
      </c>
      <c r="K142" s="927">
        <v>0</v>
      </c>
      <c r="L142" s="928"/>
    </row>
    <row r="143" spans="1:12" ht="31.5" x14ac:dyDescent="0.25">
      <c r="A143" s="967" t="s">
        <v>1429</v>
      </c>
      <c r="B143" s="925" t="s">
        <v>1430</v>
      </c>
      <c r="C143" s="926" t="s">
        <v>1345</v>
      </c>
      <c r="D143" s="927"/>
      <c r="E143" s="927">
        <v>0</v>
      </c>
      <c r="F143" s="927">
        <v>2062</v>
      </c>
      <c r="G143" s="934">
        <v>0</v>
      </c>
      <c r="H143" s="934">
        <v>0</v>
      </c>
      <c r="I143" s="927">
        <v>0</v>
      </c>
      <c r="J143" s="927">
        <v>0</v>
      </c>
      <c r="K143" s="927">
        <v>0</v>
      </c>
      <c r="L143" s="928"/>
    </row>
    <row r="144" spans="1:12" x14ac:dyDescent="0.25">
      <c r="A144" s="967" t="s">
        <v>1436</v>
      </c>
      <c r="B144" s="925" t="s">
        <v>1437</v>
      </c>
      <c r="C144" s="960" t="s">
        <v>1345</v>
      </c>
      <c r="D144" s="927"/>
      <c r="E144" s="927">
        <v>0</v>
      </c>
      <c r="F144" s="927">
        <v>947</v>
      </c>
      <c r="G144" s="934">
        <v>0</v>
      </c>
      <c r="H144" s="934">
        <v>0</v>
      </c>
      <c r="I144" s="927">
        <v>0</v>
      </c>
      <c r="J144" s="927">
        <v>0</v>
      </c>
      <c r="K144" s="927">
        <v>0</v>
      </c>
      <c r="L144" s="928"/>
    </row>
    <row r="145" spans="1:12" ht="31.5" x14ac:dyDescent="0.25">
      <c r="A145" s="961" t="s">
        <v>1431</v>
      </c>
      <c r="B145" s="962" t="s">
        <v>1432</v>
      </c>
      <c r="C145" s="963" t="s">
        <v>1345</v>
      </c>
      <c r="D145" s="964">
        <v>84089</v>
      </c>
      <c r="E145" s="964">
        <v>13343</v>
      </c>
      <c r="F145" s="964">
        <f>235390+1397286-22824</f>
        <v>1609852</v>
      </c>
      <c r="G145" s="968">
        <v>0</v>
      </c>
      <c r="H145" s="968">
        <v>0</v>
      </c>
      <c r="I145" s="964">
        <v>2000</v>
      </c>
      <c r="J145" s="964"/>
      <c r="K145" s="964"/>
      <c r="L145" s="965"/>
    </row>
    <row r="146" spans="1:12" ht="32.25" thickBot="1" x14ac:dyDescent="0.3">
      <c r="A146" s="966" t="s">
        <v>1433</v>
      </c>
      <c r="B146" s="936" t="s">
        <v>1434</v>
      </c>
      <c r="C146" s="937" t="s">
        <v>1346</v>
      </c>
      <c r="D146" s="938"/>
      <c r="E146" s="938">
        <v>0</v>
      </c>
      <c r="F146" s="938">
        <v>7220</v>
      </c>
      <c r="G146" s="950">
        <v>0</v>
      </c>
      <c r="H146" s="950">
        <v>0</v>
      </c>
      <c r="I146" s="938">
        <v>0</v>
      </c>
      <c r="J146" s="938">
        <v>0</v>
      </c>
      <c r="K146" s="938">
        <v>0</v>
      </c>
      <c r="L146" s="939"/>
    </row>
    <row r="147" spans="1:12" ht="17.25" thickTop="1" thickBot="1" x14ac:dyDescent="0.3">
      <c r="A147" s="916" t="s">
        <v>1438</v>
      </c>
    </row>
    <row r="148" spans="1:12" ht="63.75" thickTop="1" x14ac:dyDescent="0.25">
      <c r="A148" s="920" t="s">
        <v>1333</v>
      </c>
      <c r="B148" s="921" t="s">
        <v>1334</v>
      </c>
      <c r="C148" s="922" t="s">
        <v>1335</v>
      </c>
      <c r="D148" s="922" t="s">
        <v>1336</v>
      </c>
      <c r="E148" s="922" t="s">
        <v>1337</v>
      </c>
      <c r="F148" s="922" t="s">
        <v>8</v>
      </c>
      <c r="G148" s="922" t="s">
        <v>1338</v>
      </c>
      <c r="H148" s="922" t="s">
        <v>1339</v>
      </c>
      <c r="I148" s="922" t="s">
        <v>1340</v>
      </c>
      <c r="J148" s="922" t="s">
        <v>1341</v>
      </c>
      <c r="K148" s="923" t="s">
        <v>1342</v>
      </c>
    </row>
    <row r="149" spans="1:12" x14ac:dyDescent="0.25">
      <c r="A149" s="969" t="s">
        <v>1439</v>
      </c>
      <c r="B149" s="925" t="s">
        <v>1440</v>
      </c>
      <c r="C149" s="926" t="s">
        <v>1345</v>
      </c>
      <c r="D149" s="927">
        <v>0</v>
      </c>
      <c r="E149" s="927">
        <v>0</v>
      </c>
      <c r="F149" s="927">
        <v>0</v>
      </c>
      <c r="G149" s="927">
        <v>9475</v>
      </c>
      <c r="H149" s="927">
        <v>0</v>
      </c>
      <c r="I149" s="927">
        <v>0</v>
      </c>
      <c r="J149" s="927">
        <v>0</v>
      </c>
      <c r="K149" s="928">
        <v>0</v>
      </c>
    </row>
    <row r="150" spans="1:12" x14ac:dyDescent="0.25">
      <c r="A150" s="969" t="s">
        <v>1439</v>
      </c>
      <c r="B150" s="925" t="s">
        <v>1440</v>
      </c>
      <c r="C150" s="926" t="s">
        <v>1346</v>
      </c>
      <c r="D150" s="927"/>
      <c r="E150" s="927"/>
      <c r="F150" s="927"/>
      <c r="G150" s="927">
        <v>1962</v>
      </c>
      <c r="H150" s="927"/>
      <c r="I150" s="927"/>
      <c r="J150" s="927"/>
      <c r="K150" s="928"/>
    </row>
    <row r="151" spans="1:12" x14ac:dyDescent="0.25">
      <c r="A151" s="969">
        <v>104035</v>
      </c>
      <c r="B151" s="925" t="s">
        <v>1441</v>
      </c>
      <c r="C151" s="926" t="s">
        <v>1345</v>
      </c>
      <c r="D151" s="927">
        <v>0</v>
      </c>
      <c r="E151" s="927">
        <v>0</v>
      </c>
      <c r="F151" s="927">
        <v>0</v>
      </c>
      <c r="G151" s="927">
        <v>7071</v>
      </c>
      <c r="H151" s="927">
        <v>0</v>
      </c>
      <c r="I151" s="927">
        <v>0</v>
      </c>
      <c r="J151" s="927">
        <v>0</v>
      </c>
      <c r="K151" s="928">
        <v>0</v>
      </c>
    </row>
    <row r="152" spans="1:12" x14ac:dyDescent="0.25">
      <c r="A152" s="969">
        <v>104035</v>
      </c>
      <c r="B152" s="925" t="s">
        <v>1441</v>
      </c>
      <c r="C152" s="926" t="s">
        <v>1346</v>
      </c>
      <c r="D152" s="927"/>
      <c r="E152" s="927"/>
      <c r="F152" s="927"/>
      <c r="G152" s="927">
        <v>357</v>
      </c>
      <c r="H152" s="927"/>
      <c r="I152" s="927"/>
      <c r="J152" s="927"/>
      <c r="K152" s="928"/>
    </row>
    <row r="153" spans="1:12" x14ac:dyDescent="0.25">
      <c r="A153" s="969">
        <v>104036</v>
      </c>
      <c r="B153" s="925" t="s">
        <v>1442</v>
      </c>
      <c r="C153" s="926" t="s">
        <v>1345</v>
      </c>
      <c r="D153" s="927">
        <v>0</v>
      </c>
      <c r="E153" s="927">
        <v>0</v>
      </c>
      <c r="F153" s="927">
        <v>0</v>
      </c>
      <c r="G153" s="927">
        <v>3564</v>
      </c>
      <c r="H153" s="927">
        <v>0</v>
      </c>
      <c r="I153" s="927">
        <v>0</v>
      </c>
      <c r="J153" s="927">
        <v>0</v>
      </c>
      <c r="K153" s="928">
        <v>0</v>
      </c>
    </row>
    <row r="154" spans="1:12" ht="16.5" thickBot="1" x14ac:dyDescent="0.3">
      <c r="A154" s="970" t="s">
        <v>1385</v>
      </c>
      <c r="B154" s="936" t="s">
        <v>1386</v>
      </c>
      <c r="C154" s="956" t="s">
        <v>1345</v>
      </c>
      <c r="D154" s="938">
        <v>0</v>
      </c>
      <c r="E154" s="938">
        <v>0</v>
      </c>
      <c r="F154" s="938">
        <v>0</v>
      </c>
      <c r="G154" s="938">
        <v>0</v>
      </c>
      <c r="H154" s="938">
        <v>0</v>
      </c>
      <c r="I154" s="938">
        <v>0</v>
      </c>
      <c r="J154" s="938">
        <v>0</v>
      </c>
      <c r="K154" s="939">
        <f>'[6]2. melléklet'!H307</f>
        <v>484267.5</v>
      </c>
    </row>
    <row r="155" spans="1:12" ht="17.25" thickTop="1" thickBot="1" x14ac:dyDescent="0.3">
      <c r="A155" s="916" t="s">
        <v>1443</v>
      </c>
    </row>
    <row r="156" spans="1:12" ht="63.75" thickTop="1" x14ac:dyDescent="0.25">
      <c r="A156" s="920" t="s">
        <v>1333</v>
      </c>
      <c r="B156" s="921" t="s">
        <v>1334</v>
      </c>
      <c r="C156" s="922" t="s">
        <v>1335</v>
      </c>
      <c r="D156" s="922" t="s">
        <v>1377</v>
      </c>
      <c r="E156" s="922" t="s">
        <v>101</v>
      </c>
      <c r="F156" s="922" t="s">
        <v>11</v>
      </c>
      <c r="G156" s="922" t="s">
        <v>1378</v>
      </c>
      <c r="H156" s="922" t="s">
        <v>1379</v>
      </c>
      <c r="I156" s="922" t="s">
        <v>18</v>
      </c>
      <c r="J156" s="922" t="s">
        <v>20</v>
      </c>
      <c r="K156" s="922" t="s">
        <v>1380</v>
      </c>
      <c r="L156" s="923" t="s">
        <v>1381</v>
      </c>
    </row>
    <row r="157" spans="1:12" x14ac:dyDescent="0.25">
      <c r="A157" s="971" t="s">
        <v>1439</v>
      </c>
      <c r="B157" s="972" t="s">
        <v>1440</v>
      </c>
      <c r="C157" s="926" t="s">
        <v>1345</v>
      </c>
      <c r="D157" s="927">
        <v>306440</v>
      </c>
      <c r="E157" s="927">
        <f>47713-2702</f>
        <v>45011</v>
      </c>
      <c r="F157" s="927">
        <v>33711</v>
      </c>
      <c r="G157" s="927">
        <v>0</v>
      </c>
      <c r="H157" s="927">
        <v>0</v>
      </c>
      <c r="I157" s="927">
        <v>7639</v>
      </c>
      <c r="J157" s="927">
        <v>47800</v>
      </c>
      <c r="K157" s="927"/>
      <c r="L157" s="928"/>
    </row>
    <row r="158" spans="1:12" x14ac:dyDescent="0.25">
      <c r="A158" s="971" t="s">
        <v>1439</v>
      </c>
      <c r="B158" s="972" t="s">
        <v>1440</v>
      </c>
      <c r="C158" s="926" t="s">
        <v>1346</v>
      </c>
      <c r="D158" s="927">
        <v>1706</v>
      </c>
      <c r="E158" s="927">
        <v>256</v>
      </c>
      <c r="F158" s="927">
        <v>0</v>
      </c>
      <c r="G158" s="927">
        <v>0</v>
      </c>
      <c r="H158" s="927">
        <v>0</v>
      </c>
      <c r="I158" s="927">
        <v>0</v>
      </c>
      <c r="J158" s="927">
        <v>0</v>
      </c>
      <c r="K158" s="927"/>
      <c r="L158" s="928"/>
    </row>
    <row r="159" spans="1:12" x14ac:dyDescent="0.25">
      <c r="A159" s="971">
        <v>104035</v>
      </c>
      <c r="B159" s="972" t="s">
        <v>1441</v>
      </c>
      <c r="C159" s="926" t="s">
        <v>1345</v>
      </c>
      <c r="D159" s="927">
        <v>30429</v>
      </c>
      <c r="E159" s="927">
        <f>4485-252</f>
        <v>4233</v>
      </c>
      <c r="F159" s="927">
        <v>24561</v>
      </c>
      <c r="G159" s="927">
        <v>0</v>
      </c>
      <c r="H159" s="927">
        <v>0</v>
      </c>
      <c r="I159" s="927">
        <v>320</v>
      </c>
      <c r="J159" s="927">
        <v>0</v>
      </c>
      <c r="K159" s="927"/>
      <c r="L159" s="928"/>
    </row>
    <row r="160" spans="1:12" x14ac:dyDescent="0.25">
      <c r="A160" s="971">
        <v>104035</v>
      </c>
      <c r="B160" s="972" t="s">
        <v>1441</v>
      </c>
      <c r="C160" s="973" t="s">
        <v>1346</v>
      </c>
      <c r="D160" s="964">
        <v>0</v>
      </c>
      <c r="E160" s="964">
        <v>0</v>
      </c>
      <c r="F160" s="964">
        <v>357</v>
      </c>
      <c r="G160" s="964">
        <v>0</v>
      </c>
      <c r="H160" s="964">
        <v>0</v>
      </c>
      <c r="I160" s="964">
        <v>0</v>
      </c>
      <c r="J160" s="964">
        <v>0</v>
      </c>
      <c r="K160" s="964"/>
      <c r="L160" s="965"/>
    </row>
    <row r="161" spans="1:12" ht="16.5" thickBot="1" x14ac:dyDescent="0.3">
      <c r="A161" s="974">
        <v>104036</v>
      </c>
      <c r="B161" s="975" t="s">
        <v>1442</v>
      </c>
      <c r="C161" s="937" t="s">
        <v>1345</v>
      </c>
      <c r="D161" s="938">
        <v>0</v>
      </c>
      <c r="E161" s="938">
        <v>0</v>
      </c>
      <c r="F161" s="938">
        <v>4234</v>
      </c>
      <c r="G161" s="938">
        <v>0</v>
      </c>
      <c r="H161" s="938">
        <v>0</v>
      </c>
      <c r="I161" s="938">
        <v>0</v>
      </c>
      <c r="J161" s="938">
        <v>0</v>
      </c>
      <c r="K161" s="938"/>
      <c r="L161" s="939"/>
    </row>
    <row r="162" spans="1:12" ht="17.25" thickTop="1" thickBot="1" x14ac:dyDescent="0.3">
      <c r="A162" s="916" t="s">
        <v>1444</v>
      </c>
    </row>
    <row r="163" spans="1:12" ht="63.75" thickTop="1" x14ac:dyDescent="0.25">
      <c r="A163" s="920" t="s">
        <v>1333</v>
      </c>
      <c r="B163" s="921" t="s">
        <v>1334</v>
      </c>
      <c r="C163" s="922" t="s">
        <v>1335</v>
      </c>
      <c r="D163" s="922" t="s">
        <v>1336</v>
      </c>
      <c r="E163" s="922" t="s">
        <v>1337</v>
      </c>
      <c r="F163" s="922" t="s">
        <v>8</v>
      </c>
      <c r="G163" s="922" t="s">
        <v>1338</v>
      </c>
      <c r="H163" s="922" t="s">
        <v>1339</v>
      </c>
      <c r="I163" s="922" t="s">
        <v>1340</v>
      </c>
      <c r="J163" s="922" t="s">
        <v>1341</v>
      </c>
      <c r="K163" s="923" t="s">
        <v>1342</v>
      </c>
    </row>
    <row r="164" spans="1:12" x14ac:dyDescent="0.25">
      <c r="A164" s="976" t="s">
        <v>1445</v>
      </c>
      <c r="B164" s="925" t="s">
        <v>1446</v>
      </c>
      <c r="C164" s="960" t="s">
        <v>1345</v>
      </c>
      <c r="D164" s="927">
        <v>0</v>
      </c>
      <c r="E164" s="927">
        <v>0</v>
      </c>
      <c r="F164" s="927">
        <v>0</v>
      </c>
      <c r="G164" s="927">
        <v>0</v>
      </c>
      <c r="H164" s="927">
        <v>0</v>
      </c>
      <c r="I164" s="927">
        <v>0</v>
      </c>
      <c r="J164" s="927">
        <v>0</v>
      </c>
      <c r="K164" s="928">
        <v>0</v>
      </c>
    </row>
    <row r="165" spans="1:12" x14ac:dyDescent="0.25">
      <c r="A165" s="976" t="s">
        <v>1447</v>
      </c>
      <c r="B165" s="925" t="s">
        <v>1448</v>
      </c>
      <c r="C165" s="960" t="s">
        <v>1345</v>
      </c>
      <c r="D165" s="927">
        <v>0</v>
      </c>
      <c r="E165" s="927">
        <v>0</v>
      </c>
      <c r="F165" s="927">
        <v>0</v>
      </c>
      <c r="G165" s="927">
        <v>2540</v>
      </c>
      <c r="H165" s="927">
        <v>0</v>
      </c>
      <c r="I165" s="927">
        <v>0</v>
      </c>
      <c r="J165" s="927">
        <v>0</v>
      </c>
      <c r="K165" s="928">
        <v>0</v>
      </c>
    </row>
    <row r="166" spans="1:12" ht="31.5" x14ac:dyDescent="0.25">
      <c r="A166" s="976" t="s">
        <v>1427</v>
      </c>
      <c r="B166" s="925" t="s">
        <v>1428</v>
      </c>
      <c r="C166" s="960" t="s">
        <v>1345</v>
      </c>
      <c r="D166" s="927">
        <v>0</v>
      </c>
      <c r="E166" s="927">
        <v>0</v>
      </c>
      <c r="F166" s="927">
        <v>0</v>
      </c>
      <c r="G166" s="927">
        <v>29616</v>
      </c>
      <c r="H166" s="927">
        <v>0</v>
      </c>
      <c r="I166" s="927">
        <v>0</v>
      </c>
      <c r="J166" s="927">
        <v>0</v>
      </c>
      <c r="K166" s="928">
        <v>0</v>
      </c>
    </row>
    <row r="167" spans="1:12" ht="31.5" x14ac:dyDescent="0.25">
      <c r="A167" s="977" t="s">
        <v>1429</v>
      </c>
      <c r="B167" s="925" t="s">
        <v>1430</v>
      </c>
      <c r="C167" s="960" t="s">
        <v>1345</v>
      </c>
      <c r="D167" s="927">
        <v>0</v>
      </c>
      <c r="E167" s="927">
        <v>0</v>
      </c>
      <c r="F167" s="927">
        <v>0</v>
      </c>
      <c r="G167" s="927">
        <v>3603</v>
      </c>
      <c r="H167" s="927">
        <v>0</v>
      </c>
      <c r="I167" s="927">
        <v>0</v>
      </c>
      <c r="J167" s="927">
        <v>0</v>
      </c>
      <c r="K167" s="928">
        <v>0</v>
      </c>
    </row>
    <row r="168" spans="1:12" ht="16.5" thickBot="1" x14ac:dyDescent="0.3">
      <c r="A168" s="955" t="s">
        <v>1385</v>
      </c>
      <c r="B168" s="936" t="s">
        <v>1386</v>
      </c>
      <c r="C168" s="956" t="s">
        <v>1345</v>
      </c>
      <c r="D168" s="938">
        <v>0</v>
      </c>
      <c r="E168" s="938">
        <v>0</v>
      </c>
      <c r="F168" s="938">
        <v>0</v>
      </c>
      <c r="G168" s="938">
        <v>0</v>
      </c>
      <c r="H168" s="938">
        <v>0</v>
      </c>
      <c r="I168" s="938">
        <v>0</v>
      </c>
      <c r="J168" s="938">
        <v>0</v>
      </c>
      <c r="K168" s="939">
        <v>880686</v>
      </c>
    </row>
    <row r="169" spans="1:12" ht="17.25" thickTop="1" thickBot="1" x14ac:dyDescent="0.3">
      <c r="A169" s="916" t="s">
        <v>1449</v>
      </c>
    </row>
    <row r="170" spans="1:12" ht="63.75" thickTop="1" x14ac:dyDescent="0.25">
      <c r="A170" s="920" t="s">
        <v>1333</v>
      </c>
      <c r="B170" s="921" t="s">
        <v>1334</v>
      </c>
      <c r="C170" s="922" t="s">
        <v>1335</v>
      </c>
      <c r="D170" s="922" t="s">
        <v>1377</v>
      </c>
      <c r="E170" s="922" t="s">
        <v>101</v>
      </c>
      <c r="F170" s="922" t="s">
        <v>11</v>
      </c>
      <c r="G170" s="922" t="s">
        <v>1378</v>
      </c>
      <c r="H170" s="922" t="s">
        <v>1379</v>
      </c>
      <c r="I170" s="922" t="s">
        <v>18</v>
      </c>
      <c r="J170" s="922" t="s">
        <v>20</v>
      </c>
      <c r="K170" s="922" t="s">
        <v>1380</v>
      </c>
      <c r="L170" s="923" t="s">
        <v>1381</v>
      </c>
    </row>
    <row r="171" spans="1:12" x14ac:dyDescent="0.25">
      <c r="A171" s="978" t="s">
        <v>1445</v>
      </c>
      <c r="B171" s="925" t="s">
        <v>1446</v>
      </c>
      <c r="C171" s="960" t="s">
        <v>1345</v>
      </c>
      <c r="D171" s="927">
        <v>564485</v>
      </c>
      <c r="E171" s="927">
        <f>79665-5249</f>
        <v>74416</v>
      </c>
      <c r="F171" s="927">
        <v>24130</v>
      </c>
      <c r="G171" s="927">
        <v>0</v>
      </c>
      <c r="H171" s="927">
        <v>0</v>
      </c>
      <c r="I171" s="927">
        <v>0</v>
      </c>
      <c r="J171" s="927">
        <v>0</v>
      </c>
      <c r="K171" s="927">
        <v>0</v>
      </c>
      <c r="L171" s="928"/>
    </row>
    <row r="172" spans="1:12" x14ac:dyDescent="0.25">
      <c r="A172" s="978" t="s">
        <v>1447</v>
      </c>
      <c r="B172" s="925" t="s">
        <v>1448</v>
      </c>
      <c r="C172" s="960" t="s">
        <v>1345</v>
      </c>
      <c r="D172" s="927">
        <v>38978</v>
      </c>
      <c r="E172" s="927">
        <f>15834-302</f>
        <v>15532</v>
      </c>
      <c r="F172" s="927">
        <v>58691</v>
      </c>
      <c r="G172" s="927">
        <v>0</v>
      </c>
      <c r="H172" s="927">
        <v>0</v>
      </c>
      <c r="I172" s="927">
        <v>11134</v>
      </c>
      <c r="J172" s="927">
        <v>19500</v>
      </c>
      <c r="K172" s="927">
        <v>0</v>
      </c>
      <c r="L172" s="928"/>
    </row>
    <row r="173" spans="1:12" ht="31.5" x14ac:dyDescent="0.25">
      <c r="A173" s="978" t="s">
        <v>1427</v>
      </c>
      <c r="B173" s="925" t="s">
        <v>1428</v>
      </c>
      <c r="C173" s="960" t="s">
        <v>1345</v>
      </c>
      <c r="D173" s="927">
        <v>21402</v>
      </c>
      <c r="E173" s="927">
        <f>3180-201</f>
        <v>2979</v>
      </c>
      <c r="F173" s="927">
        <v>76595</v>
      </c>
      <c r="G173" s="927">
        <v>0</v>
      </c>
      <c r="H173" s="927">
        <v>0</v>
      </c>
      <c r="I173" s="927">
        <v>0</v>
      </c>
      <c r="J173" s="927">
        <v>5000</v>
      </c>
      <c r="K173" s="927">
        <v>0</v>
      </c>
      <c r="L173" s="928"/>
    </row>
    <row r="174" spans="1:12" ht="31.5" x14ac:dyDescent="0.25">
      <c r="A174" s="978" t="s">
        <v>1429</v>
      </c>
      <c r="B174" s="925" t="s">
        <v>1430</v>
      </c>
      <c r="C174" s="960" t="s">
        <v>1345</v>
      </c>
      <c r="D174" s="927">
        <v>0</v>
      </c>
      <c r="E174" s="927">
        <v>0</v>
      </c>
      <c r="F174" s="927">
        <v>3603</v>
      </c>
      <c r="G174" s="927">
        <v>0</v>
      </c>
      <c r="H174" s="927">
        <v>0</v>
      </c>
      <c r="I174" s="927">
        <v>0</v>
      </c>
      <c r="J174" s="927">
        <v>0</v>
      </c>
      <c r="K174" s="927">
        <v>0</v>
      </c>
      <c r="L174" s="928"/>
    </row>
    <row r="175" spans="1:12" ht="16.5" thickBot="1" x14ac:dyDescent="0.3">
      <c r="A175" s="979" t="s">
        <v>1385</v>
      </c>
      <c r="B175" s="936" t="s">
        <v>1386</v>
      </c>
      <c r="C175" s="956" t="s">
        <v>1345</v>
      </c>
      <c r="D175" s="938">
        <v>0</v>
      </c>
      <c r="E175" s="938">
        <v>0</v>
      </c>
      <c r="F175" s="938">
        <v>0</v>
      </c>
      <c r="G175" s="938">
        <v>0</v>
      </c>
      <c r="H175" s="938">
        <v>0</v>
      </c>
      <c r="I175" s="938">
        <v>0</v>
      </c>
      <c r="J175" s="938">
        <v>0</v>
      </c>
      <c r="K175" s="938">
        <v>0</v>
      </c>
      <c r="L175" s="939"/>
    </row>
    <row r="176" spans="1:12" ht="17.25" thickTop="1" thickBot="1" x14ac:dyDescent="0.3">
      <c r="A176" s="916" t="s">
        <v>1450</v>
      </c>
    </row>
    <row r="177" spans="1:12" ht="63.75" thickTop="1" x14ac:dyDescent="0.25">
      <c r="A177" s="920" t="s">
        <v>1333</v>
      </c>
      <c r="B177" s="921" t="s">
        <v>1334</v>
      </c>
      <c r="C177" s="922" t="s">
        <v>1335</v>
      </c>
      <c r="D177" s="922" t="s">
        <v>1336</v>
      </c>
      <c r="E177" s="922" t="s">
        <v>1337</v>
      </c>
      <c r="F177" s="922" t="s">
        <v>8</v>
      </c>
      <c r="G177" s="922" t="s">
        <v>1338</v>
      </c>
      <c r="H177" s="922" t="s">
        <v>1339</v>
      </c>
      <c r="I177" s="922" t="s">
        <v>1340</v>
      </c>
      <c r="J177" s="922" t="s">
        <v>1341</v>
      </c>
      <c r="K177" s="923" t="s">
        <v>1342</v>
      </c>
    </row>
    <row r="178" spans="1:12" x14ac:dyDescent="0.25">
      <c r="A178" s="969" t="s">
        <v>1451</v>
      </c>
      <c r="B178" s="980" t="s">
        <v>1452</v>
      </c>
      <c r="C178" s="926" t="s">
        <v>1345</v>
      </c>
      <c r="D178" s="927">
        <v>0</v>
      </c>
      <c r="E178" s="927">
        <v>0</v>
      </c>
      <c r="F178" s="927">
        <v>0</v>
      </c>
      <c r="G178" s="927">
        <v>0</v>
      </c>
      <c r="H178" s="927">
        <v>0</v>
      </c>
      <c r="I178" s="927">
        <v>0</v>
      </c>
      <c r="J178" s="927">
        <v>0</v>
      </c>
      <c r="K178" s="928">
        <v>0</v>
      </c>
    </row>
    <row r="179" spans="1:12" x14ac:dyDescent="0.25">
      <c r="A179" s="969" t="s">
        <v>1453</v>
      </c>
      <c r="B179" s="980" t="s">
        <v>1454</v>
      </c>
      <c r="C179" s="926" t="s">
        <v>1345</v>
      </c>
      <c r="D179" s="927">
        <v>0</v>
      </c>
      <c r="E179" s="927">
        <v>0</v>
      </c>
      <c r="F179" s="927">
        <v>0</v>
      </c>
      <c r="G179" s="927">
        <v>0</v>
      </c>
      <c r="H179" s="927">
        <v>0</v>
      </c>
      <c r="I179" s="927">
        <v>0</v>
      </c>
      <c r="J179" s="927">
        <v>0</v>
      </c>
      <c r="K179" s="928">
        <v>0</v>
      </c>
    </row>
    <row r="180" spans="1:12" x14ac:dyDescent="0.25">
      <c r="A180" s="969">
        <v>102031</v>
      </c>
      <c r="B180" s="980" t="s">
        <v>1455</v>
      </c>
      <c r="C180" s="926" t="s">
        <v>1345</v>
      </c>
      <c r="D180" s="927">
        <v>0</v>
      </c>
      <c r="E180" s="927">
        <v>0</v>
      </c>
      <c r="F180" s="927">
        <v>0</v>
      </c>
      <c r="G180" s="927">
        <v>224</v>
      </c>
      <c r="H180" s="927">
        <v>0</v>
      </c>
      <c r="I180" s="927">
        <v>0</v>
      </c>
      <c r="J180" s="927">
        <v>0</v>
      </c>
      <c r="K180" s="928">
        <v>0</v>
      </c>
    </row>
    <row r="181" spans="1:12" x14ac:dyDescent="0.25">
      <c r="A181" s="969">
        <v>104043</v>
      </c>
      <c r="B181" s="980" t="s">
        <v>1456</v>
      </c>
      <c r="C181" s="926" t="s">
        <v>1345</v>
      </c>
      <c r="D181" s="927">
        <v>0</v>
      </c>
      <c r="E181" s="927">
        <v>0</v>
      </c>
      <c r="F181" s="927">
        <v>0</v>
      </c>
      <c r="G181" s="927">
        <v>0</v>
      </c>
      <c r="H181" s="927">
        <v>0</v>
      </c>
      <c r="I181" s="927">
        <v>0</v>
      </c>
      <c r="J181" s="927">
        <v>0</v>
      </c>
      <c r="K181" s="928">
        <v>0</v>
      </c>
    </row>
    <row r="182" spans="1:12" x14ac:dyDescent="0.25">
      <c r="A182" s="969">
        <v>107051</v>
      </c>
      <c r="B182" s="980" t="s">
        <v>1457</v>
      </c>
      <c r="C182" s="926" t="s">
        <v>1345</v>
      </c>
      <c r="D182" s="927">
        <v>0</v>
      </c>
      <c r="E182" s="927">
        <v>0</v>
      </c>
      <c r="F182" s="927">
        <v>0</v>
      </c>
      <c r="G182" s="927">
        <v>44094</v>
      </c>
      <c r="H182" s="927">
        <v>0</v>
      </c>
      <c r="I182" s="927">
        <v>0</v>
      </c>
      <c r="J182" s="927">
        <v>0</v>
      </c>
      <c r="K182" s="928">
        <v>0</v>
      </c>
    </row>
    <row r="183" spans="1:12" x14ac:dyDescent="0.25">
      <c r="A183" s="969">
        <v>107052</v>
      </c>
      <c r="B183" s="980" t="s">
        <v>1458</v>
      </c>
      <c r="C183" s="926" t="s">
        <v>1345</v>
      </c>
      <c r="D183" s="927">
        <v>0</v>
      </c>
      <c r="E183" s="927">
        <v>0</v>
      </c>
      <c r="F183" s="927">
        <v>0</v>
      </c>
      <c r="G183" s="927">
        <v>7650</v>
      </c>
      <c r="H183" s="927">
        <v>0</v>
      </c>
      <c r="I183" s="927">
        <v>0</v>
      </c>
      <c r="J183" s="927">
        <v>0</v>
      </c>
      <c r="K183" s="928">
        <v>0</v>
      </c>
    </row>
    <row r="184" spans="1:12" x14ac:dyDescent="0.25">
      <c r="A184" s="969">
        <v>107053</v>
      </c>
      <c r="B184" s="980" t="s">
        <v>1459</v>
      </c>
      <c r="C184" s="926" t="s">
        <v>1345</v>
      </c>
      <c r="D184" s="927">
        <v>0</v>
      </c>
      <c r="E184" s="927">
        <v>0</v>
      </c>
      <c r="F184" s="927">
        <v>0</v>
      </c>
      <c r="G184" s="927">
        <v>2225</v>
      </c>
      <c r="H184" s="927">
        <v>0</v>
      </c>
      <c r="I184" s="927">
        <v>0</v>
      </c>
      <c r="J184" s="927">
        <v>0</v>
      </c>
      <c r="K184" s="928">
        <v>0</v>
      </c>
    </row>
    <row r="185" spans="1:12" ht="16.5" thickBot="1" x14ac:dyDescent="0.3">
      <c r="A185" s="970" t="s">
        <v>1385</v>
      </c>
      <c r="B185" s="936" t="s">
        <v>1386</v>
      </c>
      <c r="C185" s="956" t="s">
        <v>1345</v>
      </c>
      <c r="D185" s="938">
        <v>0</v>
      </c>
      <c r="E185" s="938">
        <v>0</v>
      </c>
      <c r="F185" s="938">
        <v>0</v>
      </c>
      <c r="G185" s="938">
        <v>0</v>
      </c>
      <c r="H185" s="938">
        <v>0</v>
      </c>
      <c r="I185" s="938">
        <v>0</v>
      </c>
      <c r="J185" s="938">
        <v>0</v>
      </c>
      <c r="K185" s="939">
        <f>'[6]2. melléklet'!I307</f>
        <v>441471</v>
      </c>
    </row>
    <row r="186" spans="1:12" ht="17.25" thickTop="1" thickBot="1" x14ac:dyDescent="0.3">
      <c r="A186" s="916" t="s">
        <v>1460</v>
      </c>
    </row>
    <row r="187" spans="1:12" ht="63.75" thickTop="1" x14ac:dyDescent="0.25">
      <c r="A187" s="920" t="s">
        <v>1333</v>
      </c>
      <c r="B187" s="921" t="s">
        <v>1334</v>
      </c>
      <c r="C187" s="922" t="s">
        <v>1335</v>
      </c>
      <c r="D187" s="922" t="s">
        <v>1377</v>
      </c>
      <c r="E187" s="922" t="s">
        <v>101</v>
      </c>
      <c r="F187" s="922" t="s">
        <v>11</v>
      </c>
      <c r="G187" s="922" t="s">
        <v>1378</v>
      </c>
      <c r="H187" s="922" t="s">
        <v>1379</v>
      </c>
      <c r="I187" s="922" t="s">
        <v>18</v>
      </c>
      <c r="J187" s="922" t="s">
        <v>20</v>
      </c>
      <c r="K187" s="922" t="s">
        <v>1380</v>
      </c>
      <c r="L187" s="923" t="s">
        <v>1381</v>
      </c>
    </row>
    <row r="188" spans="1:12" x14ac:dyDescent="0.25">
      <c r="A188" s="971" t="s">
        <v>1451</v>
      </c>
      <c r="B188" s="980" t="s">
        <v>1461</v>
      </c>
      <c r="C188" s="926" t="s">
        <v>1345</v>
      </c>
      <c r="D188" s="927">
        <v>303</v>
      </c>
      <c r="E188" s="927">
        <v>39</v>
      </c>
      <c r="F188" s="927">
        <v>29</v>
      </c>
      <c r="G188" s="927">
        <v>0</v>
      </c>
      <c r="H188" s="927">
        <v>0</v>
      </c>
      <c r="I188" s="927">
        <v>0</v>
      </c>
      <c r="J188" s="927">
        <v>0</v>
      </c>
      <c r="K188" s="927">
        <v>0</v>
      </c>
      <c r="L188" s="928"/>
    </row>
    <row r="189" spans="1:12" x14ac:dyDescent="0.25">
      <c r="A189" s="971" t="s">
        <v>1453</v>
      </c>
      <c r="B189" s="980" t="s">
        <v>1454</v>
      </c>
      <c r="C189" s="926" t="s">
        <v>1345</v>
      </c>
      <c r="D189" s="927">
        <v>23257</v>
      </c>
      <c r="E189" s="927">
        <v>3150</v>
      </c>
      <c r="F189" s="927">
        <v>4866</v>
      </c>
      <c r="G189" s="927">
        <v>0</v>
      </c>
      <c r="H189" s="927">
        <v>0</v>
      </c>
      <c r="I189" s="927">
        <v>185</v>
      </c>
      <c r="J189" s="927">
        <v>0</v>
      </c>
      <c r="K189" s="927">
        <v>0</v>
      </c>
      <c r="L189" s="928"/>
    </row>
    <row r="190" spans="1:12" x14ac:dyDescent="0.25">
      <c r="A190" s="971">
        <v>102031</v>
      </c>
      <c r="B190" s="980" t="s">
        <v>1455</v>
      </c>
      <c r="C190" s="926" t="s">
        <v>1345</v>
      </c>
      <c r="D190" s="927">
        <v>58219</v>
      </c>
      <c r="E190" s="927">
        <v>8030</v>
      </c>
      <c r="F190" s="927">
        <v>11450</v>
      </c>
      <c r="G190" s="927">
        <v>0</v>
      </c>
      <c r="H190" s="927">
        <v>0</v>
      </c>
      <c r="I190" s="927">
        <v>1389</v>
      </c>
      <c r="J190" s="927">
        <v>0</v>
      </c>
      <c r="K190" s="927">
        <v>0</v>
      </c>
      <c r="L190" s="928"/>
    </row>
    <row r="191" spans="1:12" x14ac:dyDescent="0.25">
      <c r="A191" s="971">
        <v>104043</v>
      </c>
      <c r="B191" s="980" t="s">
        <v>1462</v>
      </c>
      <c r="C191" s="926" t="s">
        <v>1345</v>
      </c>
      <c r="D191" s="927">
        <v>66406</v>
      </c>
      <c r="E191" s="927">
        <v>14322</v>
      </c>
      <c r="F191" s="927">
        <v>13295</v>
      </c>
      <c r="G191" s="927">
        <v>0</v>
      </c>
      <c r="H191" s="927">
        <v>0</v>
      </c>
      <c r="I191" s="927">
        <v>795</v>
      </c>
      <c r="J191" s="927">
        <v>2500</v>
      </c>
      <c r="K191" s="927">
        <v>0</v>
      </c>
      <c r="L191" s="928"/>
    </row>
    <row r="192" spans="1:12" x14ac:dyDescent="0.25">
      <c r="A192" s="971" t="s">
        <v>1463</v>
      </c>
      <c r="B192" s="980" t="s">
        <v>1464</v>
      </c>
      <c r="C192" s="926" t="s">
        <v>1345</v>
      </c>
      <c r="D192" s="927">
        <v>63768</v>
      </c>
      <c r="E192" s="927">
        <v>8698</v>
      </c>
      <c r="F192" s="927">
        <v>8450</v>
      </c>
      <c r="G192" s="927">
        <v>0</v>
      </c>
      <c r="H192" s="927">
        <v>0</v>
      </c>
      <c r="I192" s="927">
        <v>1133</v>
      </c>
      <c r="J192" s="927">
        <v>0</v>
      </c>
      <c r="K192" s="927">
        <v>0</v>
      </c>
      <c r="L192" s="928"/>
    </row>
    <row r="193" spans="1:12" x14ac:dyDescent="0.25">
      <c r="A193" s="971">
        <v>107051</v>
      </c>
      <c r="B193" s="980" t="s">
        <v>1457</v>
      </c>
      <c r="C193" s="926" t="s">
        <v>1345</v>
      </c>
      <c r="D193" s="927">
        <v>11155</v>
      </c>
      <c r="E193" s="927">
        <v>1528</v>
      </c>
      <c r="F193" s="927">
        <v>45900</v>
      </c>
      <c r="G193" s="927">
        <v>0</v>
      </c>
      <c r="H193" s="927">
        <v>0</v>
      </c>
      <c r="I193" s="927">
        <v>50</v>
      </c>
      <c r="J193" s="927">
        <v>0</v>
      </c>
      <c r="K193" s="927">
        <v>0</v>
      </c>
      <c r="L193" s="928"/>
    </row>
    <row r="194" spans="1:12" x14ac:dyDescent="0.25">
      <c r="A194" s="971">
        <v>107052</v>
      </c>
      <c r="B194" s="980" t="s">
        <v>1458</v>
      </c>
      <c r="C194" s="926" t="s">
        <v>1345</v>
      </c>
      <c r="D194" s="927">
        <v>89865</v>
      </c>
      <c r="E194" s="927">
        <v>12317</v>
      </c>
      <c r="F194" s="927">
        <v>13273</v>
      </c>
      <c r="G194" s="927">
        <v>0</v>
      </c>
      <c r="H194" s="927">
        <v>0</v>
      </c>
      <c r="I194" s="927">
        <v>1425</v>
      </c>
      <c r="J194" s="927">
        <v>5080</v>
      </c>
      <c r="K194" s="927">
        <v>0</v>
      </c>
      <c r="L194" s="928"/>
    </row>
    <row r="195" spans="1:12" ht="16.5" thickBot="1" x14ac:dyDescent="0.3">
      <c r="A195" s="974">
        <v>107053</v>
      </c>
      <c r="B195" s="981" t="s">
        <v>1465</v>
      </c>
      <c r="C195" s="937" t="s">
        <v>1345</v>
      </c>
      <c r="D195" s="938">
        <v>17604</v>
      </c>
      <c r="E195" s="938">
        <v>2382</v>
      </c>
      <c r="F195" s="938">
        <v>4751</v>
      </c>
      <c r="G195" s="938">
        <v>0</v>
      </c>
      <c r="H195" s="938">
        <v>0</v>
      </c>
      <c r="I195" s="938">
        <v>50</v>
      </c>
      <c r="J195" s="938">
        <v>0</v>
      </c>
      <c r="K195" s="938">
        <v>0</v>
      </c>
      <c r="L195" s="939"/>
    </row>
    <row r="196" spans="1:12" ht="17.25" thickTop="1" thickBot="1" x14ac:dyDescent="0.3">
      <c r="A196" s="916" t="s">
        <v>1466</v>
      </c>
    </row>
    <row r="197" spans="1:12" ht="63.75" thickTop="1" x14ac:dyDescent="0.25">
      <c r="A197" s="920" t="s">
        <v>1333</v>
      </c>
      <c r="B197" s="921" t="s">
        <v>1334</v>
      </c>
      <c r="C197" s="922" t="s">
        <v>1335</v>
      </c>
      <c r="D197" s="922" t="s">
        <v>1336</v>
      </c>
      <c r="E197" s="922" t="s">
        <v>1337</v>
      </c>
      <c r="F197" s="922" t="s">
        <v>8</v>
      </c>
      <c r="G197" s="922" t="s">
        <v>1338</v>
      </c>
      <c r="H197" s="922" t="s">
        <v>1339</v>
      </c>
      <c r="I197" s="922" t="s">
        <v>1340</v>
      </c>
      <c r="J197" s="922" t="s">
        <v>1341</v>
      </c>
      <c r="K197" s="923" t="s">
        <v>1342</v>
      </c>
    </row>
    <row r="198" spans="1:12" ht="31.5" x14ac:dyDescent="0.25">
      <c r="A198" s="932" t="s">
        <v>1467</v>
      </c>
      <c r="B198" s="980" t="s">
        <v>1468</v>
      </c>
      <c r="C198" s="926" t="s">
        <v>1345</v>
      </c>
      <c r="D198" s="927">
        <v>0</v>
      </c>
      <c r="E198" s="927">
        <v>0</v>
      </c>
      <c r="F198" s="927">
        <v>0</v>
      </c>
      <c r="G198" s="927">
        <v>12000</v>
      </c>
      <c r="H198" s="927">
        <v>0</v>
      </c>
      <c r="I198" s="927">
        <v>0</v>
      </c>
      <c r="J198" s="927">
        <v>0</v>
      </c>
      <c r="K198" s="928">
        <v>0</v>
      </c>
    </row>
    <row r="199" spans="1:12" ht="16.5" thickBot="1" x14ac:dyDescent="0.3">
      <c r="A199" s="982" t="s">
        <v>1385</v>
      </c>
      <c r="B199" s="936" t="s">
        <v>1386</v>
      </c>
      <c r="C199" s="937" t="s">
        <v>1345</v>
      </c>
      <c r="D199" s="938">
        <v>0</v>
      </c>
      <c r="E199" s="938">
        <v>0</v>
      </c>
      <c r="F199" s="938">
        <v>0</v>
      </c>
      <c r="G199" s="938">
        <v>0</v>
      </c>
      <c r="H199" s="938">
        <v>0</v>
      </c>
      <c r="I199" s="938">
        <v>0</v>
      </c>
      <c r="J199" s="938">
        <v>0</v>
      </c>
      <c r="K199" s="939">
        <v>83055</v>
      </c>
    </row>
    <row r="200" spans="1:12" ht="17.25" thickTop="1" thickBot="1" x14ac:dyDescent="0.3">
      <c r="A200" s="916" t="s">
        <v>1469</v>
      </c>
    </row>
    <row r="201" spans="1:12" ht="63.75" thickTop="1" x14ac:dyDescent="0.25">
      <c r="A201" s="920" t="s">
        <v>1333</v>
      </c>
      <c r="B201" s="921" t="s">
        <v>1334</v>
      </c>
      <c r="C201" s="922" t="s">
        <v>1335</v>
      </c>
      <c r="D201" s="922" t="s">
        <v>1377</v>
      </c>
      <c r="E201" s="922" t="s">
        <v>101</v>
      </c>
      <c r="F201" s="922" t="s">
        <v>11</v>
      </c>
      <c r="G201" s="922" t="s">
        <v>1378</v>
      </c>
      <c r="H201" s="922" t="s">
        <v>1379</v>
      </c>
      <c r="I201" s="922" t="s">
        <v>18</v>
      </c>
      <c r="J201" s="922" t="s">
        <v>20</v>
      </c>
      <c r="K201" s="922" t="s">
        <v>1380</v>
      </c>
      <c r="L201" s="923" t="s">
        <v>1381</v>
      </c>
    </row>
    <row r="202" spans="1:12" ht="31.5" x14ac:dyDescent="0.25">
      <c r="A202" s="967" t="s">
        <v>1467</v>
      </c>
      <c r="B202" s="980" t="s">
        <v>1468</v>
      </c>
      <c r="C202" s="926" t="s">
        <v>1345</v>
      </c>
      <c r="D202" s="927">
        <f>'[6]3. melléklet'!J22</f>
        <v>45239</v>
      </c>
      <c r="E202" s="927">
        <v>6206</v>
      </c>
      <c r="F202" s="927">
        <v>18323</v>
      </c>
      <c r="G202" s="927">
        <v>0</v>
      </c>
      <c r="H202" s="927">
        <v>0</v>
      </c>
      <c r="I202" s="927">
        <v>2019</v>
      </c>
      <c r="J202" s="927">
        <v>23268</v>
      </c>
      <c r="K202" s="927">
        <v>0</v>
      </c>
      <c r="L202" s="928"/>
    </row>
    <row r="203" spans="1:12" ht="16.5" thickBot="1" x14ac:dyDescent="0.3">
      <c r="A203" s="966" t="s">
        <v>1385</v>
      </c>
      <c r="B203" s="936" t="s">
        <v>1386</v>
      </c>
      <c r="C203" s="937" t="s">
        <v>1345</v>
      </c>
      <c r="D203" s="938">
        <v>0</v>
      </c>
      <c r="E203" s="938">
        <v>0</v>
      </c>
      <c r="F203" s="938">
        <v>0</v>
      </c>
      <c r="G203" s="938">
        <v>0</v>
      </c>
      <c r="H203" s="938">
        <v>0</v>
      </c>
      <c r="I203" s="938">
        <v>0</v>
      </c>
      <c r="J203" s="938">
        <v>0</v>
      </c>
      <c r="K203" s="938">
        <v>0</v>
      </c>
      <c r="L203" s="939"/>
    </row>
    <row r="204" spans="1:12" ht="17.25" thickTop="1" thickBot="1" x14ac:dyDescent="0.3">
      <c r="A204" s="916" t="s">
        <v>1470</v>
      </c>
    </row>
    <row r="205" spans="1:12" ht="63.75" thickTop="1" x14ac:dyDescent="0.25">
      <c r="A205" s="920" t="s">
        <v>1333</v>
      </c>
      <c r="B205" s="921" t="s">
        <v>1334</v>
      </c>
      <c r="C205" s="922" t="s">
        <v>1335</v>
      </c>
      <c r="D205" s="922" t="s">
        <v>1336</v>
      </c>
      <c r="E205" s="922" t="s">
        <v>1337</v>
      </c>
      <c r="F205" s="922" t="s">
        <v>8</v>
      </c>
      <c r="G205" s="922" t="s">
        <v>1338</v>
      </c>
      <c r="H205" s="922" t="s">
        <v>1339</v>
      </c>
      <c r="I205" s="922" t="s">
        <v>1340</v>
      </c>
      <c r="J205" s="922" t="s">
        <v>1341</v>
      </c>
      <c r="K205" s="923" t="s">
        <v>1342</v>
      </c>
    </row>
    <row r="206" spans="1:12" x14ac:dyDescent="0.25">
      <c r="A206" s="983" t="s">
        <v>1471</v>
      </c>
      <c r="B206" s="984" t="s">
        <v>1472</v>
      </c>
      <c r="C206" s="926" t="s">
        <v>1345</v>
      </c>
      <c r="D206" s="927">
        <v>0</v>
      </c>
      <c r="E206" s="927">
        <v>0</v>
      </c>
      <c r="F206" s="927">
        <v>0</v>
      </c>
      <c r="G206" s="927">
        <v>7571</v>
      </c>
      <c r="H206" s="927">
        <v>0</v>
      </c>
      <c r="I206" s="927">
        <v>0</v>
      </c>
      <c r="J206" s="927">
        <v>0</v>
      </c>
      <c r="K206" s="928">
        <v>0</v>
      </c>
    </row>
    <row r="207" spans="1:12" x14ac:dyDescent="0.25">
      <c r="A207" s="983" t="s">
        <v>1473</v>
      </c>
      <c r="B207" s="984" t="s">
        <v>1474</v>
      </c>
      <c r="C207" s="926" t="s">
        <v>1345</v>
      </c>
      <c r="D207" s="927">
        <v>2900</v>
      </c>
      <c r="E207" s="927">
        <v>0</v>
      </c>
      <c r="F207" s="927">
        <v>0</v>
      </c>
      <c r="G207" s="927">
        <v>0</v>
      </c>
      <c r="H207" s="927">
        <v>0</v>
      </c>
      <c r="I207" s="927">
        <v>0</v>
      </c>
      <c r="J207" s="927">
        <v>0</v>
      </c>
      <c r="K207" s="928">
        <v>0</v>
      </c>
    </row>
    <row r="208" spans="1:12" x14ac:dyDescent="0.25">
      <c r="A208" s="983" t="s">
        <v>1475</v>
      </c>
      <c r="B208" s="984" t="s">
        <v>1476</v>
      </c>
      <c r="C208" s="926" t="s">
        <v>1345</v>
      </c>
      <c r="D208" s="927">
        <v>0</v>
      </c>
      <c r="E208" s="927">
        <v>0</v>
      </c>
      <c r="F208" s="927">
        <v>0</v>
      </c>
      <c r="G208" s="927">
        <v>2578</v>
      </c>
      <c r="H208" s="927">
        <v>0</v>
      </c>
      <c r="I208" s="927">
        <v>0</v>
      </c>
      <c r="J208" s="927">
        <v>0</v>
      </c>
      <c r="K208" s="928">
        <v>0</v>
      </c>
    </row>
    <row r="209" spans="1:12" x14ac:dyDescent="0.25">
      <c r="A209" s="983" t="s">
        <v>1477</v>
      </c>
      <c r="B209" s="984" t="s">
        <v>1478</v>
      </c>
      <c r="C209" s="926" t="s">
        <v>1345</v>
      </c>
      <c r="D209" s="927">
        <v>42000</v>
      </c>
      <c r="E209" s="927">
        <v>0</v>
      </c>
      <c r="F209" s="927">
        <v>0</v>
      </c>
      <c r="G209" s="927">
        <v>0</v>
      </c>
      <c r="H209" s="927">
        <v>0</v>
      </c>
      <c r="I209" s="927">
        <v>0</v>
      </c>
      <c r="J209" s="927">
        <v>0</v>
      </c>
      <c r="K209" s="928">
        <v>0</v>
      </c>
    </row>
    <row r="210" spans="1:12" x14ac:dyDescent="0.25">
      <c r="A210" s="983" t="s">
        <v>1479</v>
      </c>
      <c r="B210" s="984" t="s">
        <v>1480</v>
      </c>
      <c r="C210" s="926" t="s">
        <v>1345</v>
      </c>
      <c r="D210" s="927">
        <v>118000</v>
      </c>
      <c r="E210" s="927">
        <v>0</v>
      </c>
      <c r="F210" s="927">
        <v>0</v>
      </c>
      <c r="G210" s="927">
        <v>0</v>
      </c>
      <c r="H210" s="927">
        <v>0</v>
      </c>
      <c r="I210" s="927">
        <v>0</v>
      </c>
      <c r="J210" s="927">
        <v>0</v>
      </c>
      <c r="K210" s="928">
        <v>0</v>
      </c>
    </row>
    <row r="211" spans="1:12" x14ac:dyDescent="0.25">
      <c r="A211" s="983" t="s">
        <v>1481</v>
      </c>
      <c r="B211" s="984" t="s">
        <v>1482</v>
      </c>
      <c r="C211" s="926" t="s">
        <v>1483</v>
      </c>
      <c r="D211" s="927">
        <v>450000</v>
      </c>
      <c r="E211" s="927">
        <v>0</v>
      </c>
      <c r="F211" s="927">
        <v>0</v>
      </c>
      <c r="G211" s="927">
        <v>1027</v>
      </c>
      <c r="H211" s="927">
        <v>0</v>
      </c>
      <c r="I211" s="927">
        <v>0</v>
      </c>
      <c r="J211" s="927">
        <v>0</v>
      </c>
      <c r="K211" s="928">
        <v>0</v>
      </c>
    </row>
    <row r="212" spans="1:12" x14ac:dyDescent="0.25">
      <c r="A212" s="983" t="s">
        <v>1484</v>
      </c>
      <c r="B212" s="984" t="s">
        <v>1485</v>
      </c>
      <c r="C212" s="926" t="s">
        <v>1483</v>
      </c>
      <c r="D212" s="927">
        <v>70000</v>
      </c>
      <c r="E212" s="927">
        <v>0</v>
      </c>
      <c r="F212" s="927">
        <v>0</v>
      </c>
      <c r="G212" s="927">
        <v>0</v>
      </c>
      <c r="H212" s="927">
        <v>0</v>
      </c>
      <c r="I212" s="927">
        <v>0</v>
      </c>
      <c r="J212" s="927">
        <v>0</v>
      </c>
      <c r="K212" s="928">
        <v>0</v>
      </c>
    </row>
    <row r="213" spans="1:12" x14ac:dyDescent="0.25">
      <c r="A213" s="983" t="s">
        <v>1486</v>
      </c>
      <c r="B213" s="984" t="s">
        <v>1487</v>
      </c>
      <c r="C213" s="926" t="s">
        <v>1483</v>
      </c>
      <c r="D213" s="927">
        <v>36000</v>
      </c>
      <c r="E213" s="927">
        <v>0</v>
      </c>
      <c r="F213" s="927">
        <v>0</v>
      </c>
      <c r="G213" s="927">
        <v>0</v>
      </c>
      <c r="H213" s="927">
        <v>0</v>
      </c>
      <c r="I213" s="927">
        <v>0</v>
      </c>
      <c r="J213" s="927">
        <v>0</v>
      </c>
      <c r="K213" s="928">
        <v>0</v>
      </c>
    </row>
    <row r="214" spans="1:12" x14ac:dyDescent="0.25">
      <c r="A214" s="983" t="s">
        <v>1488</v>
      </c>
      <c r="B214" s="984" t="s">
        <v>1489</v>
      </c>
      <c r="C214" s="926" t="s">
        <v>1483</v>
      </c>
      <c r="D214" s="927">
        <v>54000</v>
      </c>
      <c r="E214" s="927">
        <v>0</v>
      </c>
      <c r="F214" s="927">
        <v>0</v>
      </c>
      <c r="G214" s="927">
        <v>0</v>
      </c>
      <c r="H214" s="927">
        <v>0</v>
      </c>
      <c r="I214" s="927">
        <v>0</v>
      </c>
      <c r="J214" s="927">
        <v>0</v>
      </c>
      <c r="K214" s="928">
        <v>0</v>
      </c>
    </row>
    <row r="215" spans="1:12" x14ac:dyDescent="0.25">
      <c r="A215" s="983" t="s">
        <v>1490</v>
      </c>
      <c r="B215" s="984" t="s">
        <v>1491</v>
      </c>
      <c r="C215" s="926" t="s">
        <v>1483</v>
      </c>
      <c r="D215" s="927">
        <v>23000</v>
      </c>
      <c r="E215" s="927">
        <v>0</v>
      </c>
      <c r="F215" s="927">
        <v>0</v>
      </c>
      <c r="G215" s="927">
        <v>0</v>
      </c>
      <c r="H215" s="927">
        <v>0</v>
      </c>
      <c r="I215" s="927">
        <v>0</v>
      </c>
      <c r="J215" s="927">
        <v>0</v>
      </c>
      <c r="K215" s="928">
        <v>0</v>
      </c>
    </row>
    <row r="216" spans="1:12" x14ac:dyDescent="0.25">
      <c r="A216" s="983" t="s">
        <v>1492</v>
      </c>
      <c r="B216" s="984" t="s">
        <v>1493</v>
      </c>
      <c r="C216" s="926" t="s">
        <v>1483</v>
      </c>
      <c r="D216" s="927">
        <v>60000</v>
      </c>
      <c r="E216" s="927">
        <v>0</v>
      </c>
      <c r="F216" s="927">
        <v>0</v>
      </c>
      <c r="G216" s="927">
        <v>0</v>
      </c>
      <c r="H216" s="927">
        <v>0</v>
      </c>
      <c r="I216" s="927">
        <v>0</v>
      </c>
      <c r="J216" s="927">
        <v>0</v>
      </c>
      <c r="K216" s="928">
        <v>0</v>
      </c>
    </row>
    <row r="217" spans="1:12" x14ac:dyDescent="0.25">
      <c r="A217" s="983" t="s">
        <v>1494</v>
      </c>
      <c r="B217" s="984" t="s">
        <v>1495</v>
      </c>
      <c r="C217" s="926" t="s">
        <v>1483</v>
      </c>
      <c r="D217" s="927">
        <v>7100</v>
      </c>
      <c r="E217" s="927">
        <v>0</v>
      </c>
      <c r="F217" s="927">
        <v>0</v>
      </c>
      <c r="G217" s="927">
        <v>6175</v>
      </c>
      <c r="H217" s="927">
        <v>0</v>
      </c>
      <c r="I217" s="927">
        <v>0</v>
      </c>
      <c r="J217" s="927">
        <v>0</v>
      </c>
      <c r="K217" s="928">
        <v>0</v>
      </c>
    </row>
    <row r="218" spans="1:12" x14ac:dyDescent="0.25">
      <c r="A218" s="983" t="s">
        <v>1496</v>
      </c>
      <c r="B218" s="984" t="s">
        <v>1497</v>
      </c>
      <c r="C218" s="926" t="s">
        <v>1483</v>
      </c>
      <c r="D218" s="927">
        <v>0</v>
      </c>
      <c r="E218" s="927">
        <v>0</v>
      </c>
      <c r="F218" s="927">
        <v>0</v>
      </c>
      <c r="G218" s="927">
        <v>3657</v>
      </c>
      <c r="H218" s="927">
        <v>0</v>
      </c>
      <c r="I218" s="927">
        <v>0</v>
      </c>
      <c r="J218" s="927">
        <v>0</v>
      </c>
      <c r="K218" s="928">
        <v>0</v>
      </c>
    </row>
    <row r="219" spans="1:12" ht="16.5" thickBot="1" x14ac:dyDescent="0.3">
      <c r="A219" s="985" t="s">
        <v>1385</v>
      </c>
      <c r="B219" s="986" t="s">
        <v>1498</v>
      </c>
      <c r="C219" s="937" t="s">
        <v>1345</v>
      </c>
      <c r="D219" s="938">
        <v>0</v>
      </c>
      <c r="E219" s="938">
        <v>0</v>
      </c>
      <c r="F219" s="938">
        <v>0</v>
      </c>
      <c r="G219" s="938">
        <v>0</v>
      </c>
      <c r="H219" s="938">
        <v>0</v>
      </c>
      <c r="I219" s="938">
        <v>0</v>
      </c>
      <c r="J219" s="938">
        <v>0</v>
      </c>
      <c r="K219" s="939">
        <v>285663</v>
      </c>
    </row>
    <row r="220" spans="1:12" ht="17.25" thickTop="1" thickBot="1" x14ac:dyDescent="0.3">
      <c r="A220" s="916" t="s">
        <v>1499</v>
      </c>
    </row>
    <row r="221" spans="1:12" ht="63.75" thickTop="1" x14ac:dyDescent="0.25">
      <c r="A221" s="920" t="s">
        <v>1333</v>
      </c>
      <c r="B221" s="921" t="s">
        <v>1334</v>
      </c>
      <c r="C221" s="922" t="s">
        <v>1335</v>
      </c>
      <c r="D221" s="922" t="s">
        <v>1377</v>
      </c>
      <c r="E221" s="922" t="s">
        <v>101</v>
      </c>
      <c r="F221" s="922" t="s">
        <v>11</v>
      </c>
      <c r="G221" s="922" t="s">
        <v>1378</v>
      </c>
      <c r="H221" s="922" t="s">
        <v>1379</v>
      </c>
      <c r="I221" s="922" t="s">
        <v>18</v>
      </c>
      <c r="J221" s="922" t="s">
        <v>20</v>
      </c>
      <c r="K221" s="922" t="s">
        <v>1380</v>
      </c>
      <c r="L221" s="923" t="s">
        <v>1381</v>
      </c>
    </row>
    <row r="222" spans="1:12" x14ac:dyDescent="0.25">
      <c r="A222" s="987" t="s">
        <v>1471</v>
      </c>
      <c r="B222" s="984" t="s">
        <v>1472</v>
      </c>
      <c r="C222" s="926" t="s">
        <v>1345</v>
      </c>
      <c r="D222" s="927">
        <v>0</v>
      </c>
      <c r="E222" s="927">
        <v>0</v>
      </c>
      <c r="F222" s="927">
        <v>10682</v>
      </c>
      <c r="G222" s="927">
        <v>0</v>
      </c>
      <c r="H222" s="927">
        <v>0</v>
      </c>
      <c r="I222" s="927">
        <v>0</v>
      </c>
      <c r="J222" s="927">
        <v>0</v>
      </c>
      <c r="K222" s="927">
        <v>0</v>
      </c>
      <c r="L222" s="928"/>
    </row>
    <row r="223" spans="1:12" x14ac:dyDescent="0.25">
      <c r="A223" s="987" t="s">
        <v>1473</v>
      </c>
      <c r="B223" s="984" t="s">
        <v>1474</v>
      </c>
      <c r="C223" s="926" t="s">
        <v>1345</v>
      </c>
      <c r="D223" s="927">
        <v>0</v>
      </c>
      <c r="E223" s="927">
        <v>0</v>
      </c>
      <c r="F223" s="927">
        <v>5621</v>
      </c>
      <c r="G223" s="927">
        <v>0</v>
      </c>
      <c r="H223" s="927">
        <v>0</v>
      </c>
      <c r="I223" s="927">
        <v>0</v>
      </c>
      <c r="J223" s="927">
        <v>0</v>
      </c>
      <c r="K223" s="927">
        <v>0</v>
      </c>
      <c r="L223" s="928"/>
    </row>
    <row r="224" spans="1:12" x14ac:dyDescent="0.25">
      <c r="A224" s="987" t="s">
        <v>1475</v>
      </c>
      <c r="B224" s="984" t="s">
        <v>1476</v>
      </c>
      <c r="C224" s="926" t="s">
        <v>1345</v>
      </c>
      <c r="D224" s="927">
        <v>0</v>
      </c>
      <c r="E224" s="927">
        <v>0</v>
      </c>
      <c r="F224" s="927">
        <v>4599</v>
      </c>
      <c r="G224" s="927">
        <v>0</v>
      </c>
      <c r="H224" s="927">
        <v>0</v>
      </c>
      <c r="I224" s="927">
        <v>0</v>
      </c>
      <c r="J224" s="927">
        <v>0</v>
      </c>
      <c r="K224" s="927">
        <v>0</v>
      </c>
      <c r="L224" s="928"/>
    </row>
    <row r="225" spans="1:12" x14ac:dyDescent="0.25">
      <c r="A225" s="987" t="s">
        <v>1477</v>
      </c>
      <c r="B225" s="984" t="s">
        <v>1478</v>
      </c>
      <c r="C225" s="926" t="s">
        <v>1345</v>
      </c>
      <c r="D225" s="927">
        <v>58956</v>
      </c>
      <c r="E225" s="927">
        <v>9200</v>
      </c>
      <c r="F225" s="927">
        <v>10205</v>
      </c>
      <c r="G225" s="927">
        <v>0</v>
      </c>
      <c r="H225" s="927">
        <v>0</v>
      </c>
      <c r="I225" s="927">
        <v>0</v>
      </c>
      <c r="J225" s="927">
        <v>0</v>
      </c>
      <c r="K225" s="927">
        <v>0</v>
      </c>
      <c r="L225" s="928"/>
    </row>
    <row r="226" spans="1:12" x14ac:dyDescent="0.25">
      <c r="A226" s="987" t="s">
        <v>1479</v>
      </c>
      <c r="B226" s="984" t="s">
        <v>1480</v>
      </c>
      <c r="C226" s="926" t="s">
        <v>1345</v>
      </c>
      <c r="D226" s="927">
        <v>124356</v>
      </c>
      <c r="E226" s="927">
        <v>14200</v>
      </c>
      <c r="F226" s="927">
        <v>834</v>
      </c>
      <c r="G226" s="927">
        <v>0</v>
      </c>
      <c r="H226" s="927">
        <v>0</v>
      </c>
      <c r="I226" s="927">
        <v>0</v>
      </c>
      <c r="J226" s="927">
        <v>0</v>
      </c>
      <c r="K226" s="927">
        <v>0</v>
      </c>
      <c r="L226" s="928"/>
    </row>
    <row r="227" spans="1:12" x14ac:dyDescent="0.25">
      <c r="A227" s="987" t="s">
        <v>1481</v>
      </c>
      <c r="B227" s="984" t="s">
        <v>1482</v>
      </c>
      <c r="C227" s="926" t="s">
        <v>1346</v>
      </c>
      <c r="D227" s="927">
        <v>474088</v>
      </c>
      <c r="E227" s="927">
        <v>66500</v>
      </c>
      <c r="F227" s="927">
        <v>100003</v>
      </c>
      <c r="G227" s="927">
        <v>0</v>
      </c>
      <c r="H227" s="927">
        <v>0</v>
      </c>
      <c r="I227" s="927">
        <v>1270</v>
      </c>
      <c r="J227" s="927">
        <v>0</v>
      </c>
      <c r="K227" s="927">
        <v>0</v>
      </c>
      <c r="L227" s="928"/>
    </row>
    <row r="228" spans="1:12" x14ac:dyDescent="0.25">
      <c r="A228" s="987" t="s">
        <v>1484</v>
      </c>
      <c r="B228" s="984" t="s">
        <v>1485</v>
      </c>
      <c r="C228" s="926" t="s">
        <v>1346</v>
      </c>
      <c r="D228" s="927">
        <v>76160</v>
      </c>
      <c r="E228" s="927">
        <v>12100</v>
      </c>
      <c r="F228" s="927">
        <v>3405</v>
      </c>
      <c r="G228" s="927">
        <v>0</v>
      </c>
      <c r="H228" s="927">
        <v>0</v>
      </c>
      <c r="I228" s="927">
        <v>0</v>
      </c>
      <c r="J228" s="927">
        <v>0</v>
      </c>
      <c r="K228" s="927">
        <v>0</v>
      </c>
      <c r="L228" s="928"/>
    </row>
    <row r="229" spans="1:12" x14ac:dyDescent="0.25">
      <c r="A229" s="987" t="s">
        <v>1486</v>
      </c>
      <c r="B229" s="984" t="s">
        <v>1487</v>
      </c>
      <c r="C229" s="926" t="s">
        <v>1346</v>
      </c>
      <c r="D229" s="927">
        <v>0</v>
      </c>
      <c r="E229" s="927">
        <v>0</v>
      </c>
      <c r="F229" s="927">
        <v>36102</v>
      </c>
      <c r="G229" s="927">
        <v>0</v>
      </c>
      <c r="H229" s="927">
        <v>0</v>
      </c>
      <c r="I229" s="927">
        <v>0</v>
      </c>
      <c r="J229" s="927">
        <v>0</v>
      </c>
      <c r="K229" s="927">
        <v>0</v>
      </c>
      <c r="L229" s="928"/>
    </row>
    <row r="230" spans="1:12" x14ac:dyDescent="0.25">
      <c r="A230" s="987" t="s">
        <v>1488</v>
      </c>
      <c r="B230" s="984" t="s">
        <v>1489</v>
      </c>
      <c r="C230" s="926" t="s">
        <v>1346</v>
      </c>
      <c r="D230" s="927">
        <v>38530</v>
      </c>
      <c r="E230" s="927">
        <v>6110</v>
      </c>
      <c r="F230" s="927">
        <v>15691</v>
      </c>
      <c r="G230" s="927">
        <v>0</v>
      </c>
      <c r="H230" s="927">
        <v>0</v>
      </c>
      <c r="I230" s="927">
        <v>0</v>
      </c>
      <c r="J230" s="927">
        <v>0</v>
      </c>
      <c r="K230" s="927">
        <v>0</v>
      </c>
      <c r="L230" s="928"/>
    </row>
    <row r="231" spans="1:12" x14ac:dyDescent="0.25">
      <c r="A231" s="987" t="s">
        <v>1500</v>
      </c>
      <c r="B231" s="984" t="s">
        <v>1501</v>
      </c>
      <c r="C231" s="926" t="s">
        <v>1346</v>
      </c>
      <c r="D231" s="927">
        <v>20196</v>
      </c>
      <c r="E231" s="927">
        <v>3470</v>
      </c>
      <c r="F231" s="927">
        <v>2228</v>
      </c>
      <c r="G231" s="927">
        <v>0</v>
      </c>
      <c r="H231" s="927">
        <v>0</v>
      </c>
      <c r="I231" s="927">
        <v>0</v>
      </c>
      <c r="J231" s="927">
        <v>0</v>
      </c>
      <c r="K231" s="927">
        <v>0</v>
      </c>
      <c r="L231" s="928"/>
    </row>
    <row r="232" spans="1:12" x14ac:dyDescent="0.25">
      <c r="A232" s="987" t="s">
        <v>1492</v>
      </c>
      <c r="B232" s="984" t="s">
        <v>1493</v>
      </c>
      <c r="C232" s="926" t="s">
        <v>1346</v>
      </c>
      <c r="D232" s="927">
        <v>0</v>
      </c>
      <c r="E232" s="927">
        <v>0</v>
      </c>
      <c r="F232" s="927">
        <v>51000</v>
      </c>
      <c r="G232" s="927">
        <v>0</v>
      </c>
      <c r="H232" s="927">
        <v>0</v>
      </c>
      <c r="I232" s="927">
        <v>0</v>
      </c>
      <c r="J232" s="927">
        <v>0</v>
      </c>
      <c r="K232" s="927">
        <v>0</v>
      </c>
      <c r="L232" s="928"/>
    </row>
    <row r="233" spans="1:12" x14ac:dyDescent="0.25">
      <c r="A233" s="987" t="s">
        <v>1494</v>
      </c>
      <c r="B233" s="984" t="s">
        <v>1495</v>
      </c>
      <c r="C233" s="926" t="s">
        <v>1346</v>
      </c>
      <c r="D233" s="927">
        <v>20714</v>
      </c>
      <c r="E233" s="927">
        <v>1420</v>
      </c>
      <c r="F233" s="927">
        <v>2031</v>
      </c>
      <c r="G233" s="927">
        <v>0</v>
      </c>
      <c r="H233" s="927">
        <v>0</v>
      </c>
      <c r="I233" s="927">
        <v>0</v>
      </c>
      <c r="J233" s="927">
        <v>0</v>
      </c>
      <c r="K233" s="927">
        <v>0</v>
      </c>
      <c r="L233" s="928"/>
    </row>
    <row r="234" spans="1:12" x14ac:dyDescent="0.25">
      <c r="A234" s="987" t="s">
        <v>1496</v>
      </c>
      <c r="B234" s="984" t="s">
        <v>1497</v>
      </c>
      <c r="C234" s="926" t="s">
        <v>1483</v>
      </c>
      <c r="D234" s="927">
        <v>0</v>
      </c>
      <c r="E234" s="927">
        <v>0</v>
      </c>
      <c r="F234" s="927">
        <v>0</v>
      </c>
      <c r="G234" s="927">
        <v>0</v>
      </c>
      <c r="H234" s="927">
        <v>0</v>
      </c>
      <c r="I234" s="927">
        <v>0</v>
      </c>
      <c r="J234" s="927">
        <v>0</v>
      </c>
      <c r="K234" s="927">
        <v>0</v>
      </c>
      <c r="L234" s="928"/>
    </row>
    <row r="235" spans="1:12" ht="16.5" thickBot="1" x14ac:dyDescent="0.3">
      <c r="A235" s="988" t="s">
        <v>1385</v>
      </c>
      <c r="B235" s="986" t="s">
        <v>1498</v>
      </c>
      <c r="C235" s="937" t="s">
        <v>1345</v>
      </c>
      <c r="D235" s="938">
        <v>0</v>
      </c>
      <c r="E235" s="938">
        <v>0</v>
      </c>
      <c r="F235" s="938">
        <v>0</v>
      </c>
      <c r="G235" s="938"/>
      <c r="H235" s="938"/>
      <c r="I235" s="938"/>
      <c r="J235" s="938"/>
      <c r="K235" s="938"/>
      <c r="L235" s="939"/>
    </row>
    <row r="236" spans="1:12" ht="16.5" thickTop="1" x14ac:dyDescent="0.25"/>
  </sheetData>
  <pageMargins left="0.70866141732283472" right="0.70866141732283472" top="0.55118110236220474" bottom="0.55118110236220474" header="0.31496062992125984" footer="0.31496062992125984"/>
  <pageSetup paperSize="9" scale="61" fitToHeight="0" orientation="landscape" r:id="rId1"/>
  <headerFooter>
    <oddHeader>&amp;R5. melléklet a ...../2022. (II. ......) önkormányzati rendelethez</oddHeader>
  </headerFooter>
  <rowBreaks count="5" manualBreakCount="5">
    <brk id="42" max="16383" man="1"/>
    <brk id="111" max="16383" man="1"/>
    <brk id="135" max="16383" man="1"/>
    <brk id="161" max="16383" man="1"/>
    <brk id="19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view="pageBreakPreview" zoomScaleNormal="100" zoomScaleSheetLayoutView="100" workbookViewId="0">
      <selection activeCell="E57" sqref="E57"/>
    </sheetView>
  </sheetViews>
  <sheetFormatPr defaultColWidth="9.140625" defaultRowHeight="15.75" x14ac:dyDescent="0.25"/>
  <cols>
    <col min="1" max="1" width="9.140625" style="661"/>
    <col min="2" max="2" width="53" style="687" customWidth="1"/>
    <col min="3" max="3" width="13.85546875" style="685" customWidth="1"/>
    <col min="4" max="4" width="11.7109375" style="685" hidden="1" customWidth="1"/>
    <col min="5" max="5" width="11.7109375" style="685" customWidth="1"/>
    <col min="6" max="6" width="10" style="661" hidden="1" customWidth="1"/>
    <col min="7" max="7" width="12.7109375" style="661" hidden="1" customWidth="1"/>
    <col min="8" max="8" width="12.7109375" style="686" hidden="1" customWidth="1"/>
    <col min="9" max="9" width="12.7109375" style="661" hidden="1" customWidth="1"/>
    <col min="10" max="10" width="10.7109375" style="686" hidden="1" customWidth="1"/>
    <col min="11" max="11" width="11.5703125" style="661" hidden="1" customWidth="1"/>
    <col min="12" max="16384" width="9.140625" style="661"/>
  </cols>
  <sheetData>
    <row r="1" spans="1:12" s="657" customFormat="1" ht="42.75" customHeight="1" x14ac:dyDescent="0.25">
      <c r="A1" s="1189"/>
      <c r="B1" s="1190"/>
      <c r="C1" s="656" t="s">
        <v>92</v>
      </c>
      <c r="D1" s="656" t="s">
        <v>778</v>
      </c>
      <c r="E1" s="656" t="s">
        <v>779</v>
      </c>
      <c r="F1" s="656" t="s">
        <v>780</v>
      </c>
      <c r="G1" s="656" t="s">
        <v>781</v>
      </c>
      <c r="H1" s="656" t="s">
        <v>782</v>
      </c>
      <c r="I1" s="656" t="s">
        <v>783</v>
      </c>
      <c r="J1" s="656" t="s">
        <v>784</v>
      </c>
      <c r="K1" s="656" t="s">
        <v>785</v>
      </c>
    </row>
    <row r="2" spans="1:12" ht="25.5" customHeight="1" x14ac:dyDescent="0.25">
      <c r="A2" s="1191" t="s">
        <v>786</v>
      </c>
      <c r="B2" s="1191"/>
      <c r="C2" s="658">
        <f>SUM(C3:C4)</f>
        <v>1465753.7150000001</v>
      </c>
      <c r="D2" s="659"/>
      <c r="E2" s="658">
        <f>SUM(E3:E4)</f>
        <v>1356246</v>
      </c>
      <c r="F2" s="659">
        <f t="shared" ref="F2" si="0">G2-E2</f>
        <v>-1356246</v>
      </c>
      <c r="G2" s="658">
        <f t="shared" ref="G2" si="1">SUM(G3:G4)</f>
        <v>0</v>
      </c>
      <c r="H2" s="660">
        <f>I2-G2</f>
        <v>0</v>
      </c>
      <c r="I2" s="658">
        <f>SUM(I3:I4)</f>
        <v>0</v>
      </c>
      <c r="J2" s="660">
        <f>K2-I2</f>
        <v>0</v>
      </c>
      <c r="K2" s="658">
        <f>SUM(K3:K4)</f>
        <v>0</v>
      </c>
      <c r="L2" s="685"/>
    </row>
    <row r="3" spans="1:12" ht="26.25" customHeight="1" x14ac:dyDescent="0.25">
      <c r="A3" s="1191" t="s">
        <v>787</v>
      </c>
      <c r="B3" s="1191"/>
      <c r="C3" s="659">
        <f>150000-10000</f>
        <v>140000</v>
      </c>
      <c r="D3" s="659"/>
      <c r="E3" s="659">
        <f>140000-2000-48-13145-50000-2331+22316</f>
        <v>94792</v>
      </c>
      <c r="F3" s="659"/>
      <c r="G3" s="659"/>
      <c r="H3" s="660"/>
      <c r="I3" s="659"/>
      <c r="J3" s="660"/>
      <c r="K3" s="659"/>
    </row>
    <row r="4" spans="1:12" ht="32.25" customHeight="1" x14ac:dyDescent="0.25">
      <c r="A4" s="1191" t="s">
        <v>788</v>
      </c>
      <c r="B4" s="1191"/>
      <c r="C4" s="659">
        <f>SUM(C5:C59)</f>
        <v>1325753.7150000001</v>
      </c>
      <c r="D4" s="662"/>
      <c r="E4" s="659">
        <f>SUM(E5:E61)</f>
        <v>1261454</v>
      </c>
      <c r="F4" s="662">
        <f>G4-E4</f>
        <v>-1261454</v>
      </c>
      <c r="G4" s="659">
        <f>SUM(G5:G61)</f>
        <v>0</v>
      </c>
      <c r="H4" s="660">
        <f t="shared" ref="H4" si="2">I4-G4</f>
        <v>0</v>
      </c>
      <c r="I4" s="659">
        <f>SUM(I5:I61)</f>
        <v>0</v>
      </c>
      <c r="J4" s="660">
        <f>K4-I4</f>
        <v>0</v>
      </c>
      <c r="K4" s="659">
        <f>SUM(K5:K61)</f>
        <v>0</v>
      </c>
      <c r="L4" s="685"/>
    </row>
    <row r="5" spans="1:12" x14ac:dyDescent="0.25">
      <c r="A5" s="661" t="s">
        <v>789</v>
      </c>
      <c r="B5" s="663" t="s">
        <v>790</v>
      </c>
      <c r="C5" s="664"/>
      <c r="D5" s="665"/>
      <c r="E5" s="664"/>
      <c r="F5" s="666"/>
      <c r="G5" s="666"/>
      <c r="H5" s="667"/>
      <c r="I5" s="666"/>
      <c r="J5" s="667"/>
      <c r="K5" s="666"/>
    </row>
    <row r="6" spans="1:12" x14ac:dyDescent="0.25">
      <c r="A6" s="668">
        <v>1</v>
      </c>
      <c r="B6" s="669" t="s">
        <v>791</v>
      </c>
      <c r="C6" s="670">
        <v>18000</v>
      </c>
      <c r="D6" s="671"/>
      <c r="E6" s="670">
        <v>18000</v>
      </c>
      <c r="F6" s="670"/>
      <c r="G6" s="670"/>
      <c r="H6" s="672"/>
      <c r="I6" s="670"/>
      <c r="J6" s="672"/>
      <c r="K6" s="670"/>
    </row>
    <row r="7" spans="1:12" x14ac:dyDescent="0.25">
      <c r="A7" s="668">
        <v>2</v>
      </c>
      <c r="B7" s="669" t="s">
        <v>792</v>
      </c>
      <c r="C7" s="670">
        <f>5000+10000</f>
        <v>15000</v>
      </c>
      <c r="D7" s="671"/>
      <c r="E7" s="670">
        <v>15000</v>
      </c>
      <c r="F7" s="670"/>
      <c r="G7" s="670"/>
      <c r="H7" s="672"/>
      <c r="I7" s="670"/>
      <c r="J7" s="672"/>
      <c r="K7" s="670"/>
    </row>
    <row r="8" spans="1:12" x14ac:dyDescent="0.25">
      <c r="A8" s="668">
        <v>3</v>
      </c>
      <c r="B8" s="669" t="s">
        <v>793</v>
      </c>
      <c r="C8" s="670">
        <v>850</v>
      </c>
      <c r="D8" s="671"/>
      <c r="E8" s="670">
        <v>850</v>
      </c>
      <c r="F8" s="670"/>
      <c r="G8" s="670"/>
      <c r="H8" s="672"/>
      <c r="I8" s="670"/>
      <c r="J8" s="672"/>
      <c r="K8" s="670"/>
    </row>
    <row r="9" spans="1:12" x14ac:dyDescent="0.25">
      <c r="A9" s="668">
        <v>4</v>
      </c>
      <c r="B9" s="669" t="s">
        <v>794</v>
      </c>
      <c r="C9" s="670">
        <v>50000</v>
      </c>
      <c r="D9" s="671"/>
      <c r="E9" s="670">
        <v>50000</v>
      </c>
      <c r="F9" s="670"/>
      <c r="G9" s="670"/>
      <c r="H9" s="672"/>
      <c r="I9" s="670"/>
      <c r="J9" s="672"/>
      <c r="K9" s="670"/>
    </row>
    <row r="10" spans="1:12" x14ac:dyDescent="0.25">
      <c r="A10" s="668">
        <v>5</v>
      </c>
      <c r="B10" s="669" t="s">
        <v>1077</v>
      </c>
      <c r="C10" s="670">
        <v>10000</v>
      </c>
      <c r="D10" s="671"/>
      <c r="E10" s="670">
        <v>10000</v>
      </c>
      <c r="F10" s="670"/>
      <c r="G10" s="670"/>
      <c r="H10" s="672"/>
      <c r="I10" s="670"/>
      <c r="J10" s="672"/>
      <c r="K10" s="670"/>
    </row>
    <row r="11" spans="1:12" x14ac:dyDescent="0.25">
      <c r="A11" s="668"/>
      <c r="B11" s="669"/>
      <c r="C11" s="670"/>
      <c r="D11" s="671"/>
      <c r="E11" s="670"/>
      <c r="F11" s="670"/>
      <c r="G11" s="670"/>
      <c r="H11" s="672"/>
      <c r="I11" s="670"/>
      <c r="J11" s="672"/>
      <c r="K11" s="670"/>
    </row>
    <row r="12" spans="1:12" x14ac:dyDescent="0.25">
      <c r="A12" s="668"/>
      <c r="B12" s="673" t="s">
        <v>795</v>
      </c>
      <c r="C12" s="674"/>
      <c r="D12" s="670"/>
      <c r="E12" s="670"/>
      <c r="F12" s="670"/>
      <c r="G12" s="670"/>
      <c r="H12" s="672"/>
      <c r="I12" s="670"/>
      <c r="J12" s="672"/>
      <c r="K12" s="670"/>
    </row>
    <row r="13" spans="1:12" x14ac:dyDescent="0.25">
      <c r="A13" s="668">
        <v>6</v>
      </c>
      <c r="B13" s="669" t="s">
        <v>796</v>
      </c>
      <c r="C13" s="670">
        <v>18000</v>
      </c>
      <c r="D13" s="671"/>
      <c r="E13" s="670">
        <v>18000</v>
      </c>
      <c r="F13" s="670"/>
      <c r="G13" s="670"/>
      <c r="H13" s="672"/>
      <c r="I13" s="670"/>
      <c r="J13" s="672"/>
      <c r="K13" s="670"/>
    </row>
    <row r="14" spans="1:12" x14ac:dyDescent="0.25">
      <c r="A14" s="668">
        <v>7</v>
      </c>
      <c r="B14" s="669" t="s">
        <v>1505</v>
      </c>
      <c r="C14" s="670">
        <v>4000</v>
      </c>
      <c r="D14" s="671"/>
      <c r="E14" s="670">
        <v>0</v>
      </c>
      <c r="F14" s="670"/>
      <c r="G14" s="670"/>
      <c r="H14" s="672"/>
      <c r="I14" s="670"/>
      <c r="J14" s="672"/>
      <c r="K14" s="670"/>
    </row>
    <row r="15" spans="1:12" x14ac:dyDescent="0.25">
      <c r="A15" s="668"/>
      <c r="B15" s="669"/>
      <c r="C15" s="670"/>
      <c r="D15" s="671"/>
      <c r="E15" s="670"/>
      <c r="F15" s="670"/>
      <c r="G15" s="670"/>
      <c r="H15" s="672"/>
      <c r="I15" s="670"/>
      <c r="J15" s="672"/>
      <c r="K15" s="670"/>
    </row>
    <row r="16" spans="1:12" x14ac:dyDescent="0.25">
      <c r="A16" s="668"/>
      <c r="B16" s="673" t="s">
        <v>797</v>
      </c>
      <c r="C16" s="675"/>
      <c r="D16" s="675"/>
      <c r="E16" s="675"/>
      <c r="F16" s="675"/>
      <c r="G16" s="675"/>
      <c r="H16" s="672"/>
      <c r="I16" s="670"/>
      <c r="J16" s="672"/>
      <c r="K16" s="670"/>
    </row>
    <row r="17" spans="1:11" x14ac:dyDescent="0.25">
      <c r="A17" s="668">
        <v>8</v>
      </c>
      <c r="B17" s="669" t="s">
        <v>798</v>
      </c>
      <c r="C17" s="676">
        <v>650000</v>
      </c>
      <c r="D17" s="677"/>
      <c r="E17" s="676">
        <v>650000</v>
      </c>
      <c r="F17" s="670"/>
      <c r="G17" s="676"/>
      <c r="H17" s="672"/>
      <c r="I17" s="670"/>
      <c r="J17" s="672"/>
      <c r="K17" s="670"/>
    </row>
    <row r="18" spans="1:11" x14ac:dyDescent="0.25">
      <c r="A18" s="668">
        <v>9</v>
      </c>
      <c r="B18" s="669" t="s">
        <v>1078</v>
      </c>
      <c r="C18" s="676">
        <v>17386</v>
      </c>
      <c r="D18" s="677"/>
      <c r="E18" s="676">
        <v>17386</v>
      </c>
      <c r="F18" s="670"/>
      <c r="G18" s="676"/>
      <c r="H18" s="672"/>
      <c r="I18" s="670"/>
      <c r="J18" s="672"/>
      <c r="K18" s="670"/>
    </row>
    <row r="19" spans="1:11" x14ac:dyDescent="0.25">
      <c r="A19" s="668">
        <v>10</v>
      </c>
      <c r="B19" s="669" t="s">
        <v>799</v>
      </c>
      <c r="C19" s="670">
        <f>100000-15000</f>
        <v>85000</v>
      </c>
      <c r="D19" s="677"/>
      <c r="E19" s="670">
        <v>85000</v>
      </c>
      <c r="F19" s="670"/>
      <c r="G19" s="670"/>
      <c r="H19" s="672"/>
      <c r="I19" s="670"/>
      <c r="J19" s="672"/>
      <c r="K19" s="670"/>
    </row>
    <row r="20" spans="1:11" x14ac:dyDescent="0.25">
      <c r="A20" s="668">
        <v>11</v>
      </c>
      <c r="B20" s="678" t="s">
        <v>800</v>
      </c>
      <c r="C20" s="670">
        <v>30000</v>
      </c>
      <c r="D20" s="677"/>
      <c r="E20" s="670">
        <v>30000</v>
      </c>
      <c r="F20" s="670"/>
      <c r="G20" s="670"/>
      <c r="H20" s="672"/>
      <c r="I20" s="670"/>
      <c r="J20" s="672"/>
      <c r="K20" s="670"/>
    </row>
    <row r="21" spans="1:11" x14ac:dyDescent="0.25">
      <c r="A21" s="668">
        <v>12</v>
      </c>
      <c r="B21" s="678" t="s">
        <v>801</v>
      </c>
      <c r="C21" s="670">
        <v>15000</v>
      </c>
      <c r="D21" s="677"/>
      <c r="E21" s="670">
        <v>15000</v>
      </c>
      <c r="F21" s="670"/>
      <c r="G21" s="670"/>
      <c r="H21" s="672"/>
      <c r="I21" s="670"/>
      <c r="J21" s="672"/>
      <c r="K21" s="670"/>
    </row>
    <row r="22" spans="1:11" x14ac:dyDescent="0.25">
      <c r="A22" s="668">
        <v>13</v>
      </c>
      <c r="B22" s="678" t="s">
        <v>1503</v>
      </c>
      <c r="C22" s="670">
        <v>100000</v>
      </c>
      <c r="D22" s="677"/>
      <c r="E22" s="670">
        <v>100000</v>
      </c>
      <c r="F22" s="670"/>
      <c r="G22" s="670"/>
      <c r="H22" s="672"/>
      <c r="I22" s="670"/>
      <c r="J22" s="672"/>
      <c r="K22" s="670"/>
    </row>
    <row r="23" spans="1:11" x14ac:dyDescent="0.25">
      <c r="A23" s="668">
        <v>14</v>
      </c>
      <c r="B23" s="678" t="s">
        <v>803</v>
      </c>
      <c r="C23" s="670">
        <v>6000</v>
      </c>
      <c r="D23" s="677"/>
      <c r="E23" s="670">
        <v>6000</v>
      </c>
      <c r="F23" s="670"/>
      <c r="G23" s="670"/>
      <c r="H23" s="672"/>
      <c r="I23" s="670"/>
      <c r="J23" s="672"/>
      <c r="K23" s="670"/>
    </row>
    <row r="24" spans="1:11" ht="31.5" x14ac:dyDescent="0.25">
      <c r="A24" s="668">
        <v>15</v>
      </c>
      <c r="B24" s="678" t="s">
        <v>804</v>
      </c>
      <c r="C24" s="670">
        <v>3500</v>
      </c>
      <c r="D24" s="677"/>
      <c r="E24" s="670">
        <v>3500</v>
      </c>
      <c r="F24" s="670"/>
      <c r="G24" s="670"/>
      <c r="H24" s="672"/>
      <c r="I24" s="670"/>
      <c r="J24" s="672"/>
      <c r="K24" s="670"/>
    </row>
    <row r="25" spans="1:11" x14ac:dyDescent="0.25">
      <c r="A25" s="668"/>
      <c r="B25" s="673" t="s">
        <v>805</v>
      </c>
      <c r="C25" s="675"/>
      <c r="D25" s="670"/>
      <c r="E25" s="675"/>
      <c r="F25" s="670"/>
      <c r="G25" s="675"/>
      <c r="H25" s="672"/>
      <c r="I25" s="670"/>
      <c r="J25" s="672"/>
      <c r="K25" s="670"/>
    </row>
    <row r="26" spans="1:11" x14ac:dyDescent="0.25">
      <c r="A26" s="668">
        <v>16</v>
      </c>
      <c r="B26" s="669" t="s">
        <v>806</v>
      </c>
      <c r="C26" s="670">
        <v>10000</v>
      </c>
      <c r="D26" s="677"/>
      <c r="E26" s="670">
        <f>10000-200-100</f>
        <v>9700</v>
      </c>
      <c r="F26" s="670"/>
      <c r="G26" s="670"/>
      <c r="H26" s="672"/>
      <c r="I26" s="670"/>
      <c r="J26" s="672"/>
      <c r="K26" s="670"/>
    </row>
    <row r="27" spans="1:11" ht="31.5" x14ac:dyDescent="0.25">
      <c r="A27" s="668">
        <v>17</v>
      </c>
      <c r="B27" s="678" t="s">
        <v>1095</v>
      </c>
      <c r="C27" s="676">
        <f>(10654963+36313752)/1000</f>
        <v>46968.714999999997</v>
      </c>
      <c r="D27" s="677"/>
      <c r="E27" s="676">
        <v>46969</v>
      </c>
      <c r="F27" s="670"/>
      <c r="G27" s="676"/>
      <c r="H27" s="672"/>
      <c r="I27" s="670"/>
      <c r="J27" s="672"/>
      <c r="K27" s="670"/>
    </row>
    <row r="28" spans="1:11" x14ac:dyDescent="0.25">
      <c r="A28" s="668">
        <v>18</v>
      </c>
      <c r="B28" s="669" t="s">
        <v>807</v>
      </c>
      <c r="C28" s="676">
        <v>20000</v>
      </c>
      <c r="D28" s="677"/>
      <c r="E28" s="676">
        <v>20000</v>
      </c>
      <c r="F28" s="670"/>
      <c r="G28" s="676"/>
      <c r="H28" s="672"/>
      <c r="I28" s="670"/>
      <c r="J28" s="672"/>
      <c r="K28" s="670"/>
    </row>
    <row r="29" spans="1:11" x14ac:dyDescent="0.25">
      <c r="A29" s="668">
        <v>19</v>
      </c>
      <c r="B29" s="669" t="s">
        <v>808</v>
      </c>
      <c r="C29" s="670">
        <v>3000</v>
      </c>
      <c r="D29" s="677"/>
      <c r="E29" s="670">
        <v>3000</v>
      </c>
      <c r="F29" s="679"/>
      <c r="G29" s="670"/>
      <c r="H29" s="672"/>
      <c r="I29" s="670"/>
      <c r="J29" s="672"/>
      <c r="K29" s="670"/>
    </row>
    <row r="30" spans="1:11" hidden="1" x14ac:dyDescent="0.25">
      <c r="A30" s="668"/>
      <c r="B30" s="669" t="s">
        <v>809</v>
      </c>
      <c r="C30" s="670"/>
      <c r="D30" s="677"/>
      <c r="E30" s="670"/>
      <c r="F30" s="670"/>
      <c r="G30" s="670"/>
      <c r="H30" s="672"/>
      <c r="I30" s="670"/>
      <c r="J30" s="672"/>
      <c r="K30" s="670"/>
    </row>
    <row r="31" spans="1:11" hidden="1" x14ac:dyDescent="0.25">
      <c r="A31" s="668">
        <v>20</v>
      </c>
      <c r="B31" s="669" t="s">
        <v>810</v>
      </c>
      <c r="C31" s="670"/>
      <c r="D31" s="677"/>
      <c r="E31" s="670"/>
      <c r="F31" s="670"/>
      <c r="G31" s="670"/>
      <c r="H31" s="672"/>
      <c r="I31" s="670"/>
      <c r="J31" s="672"/>
      <c r="K31" s="670"/>
    </row>
    <row r="32" spans="1:11" x14ac:dyDescent="0.25">
      <c r="A32" s="668">
        <v>20</v>
      </c>
      <c r="B32" s="669" t="s">
        <v>811</v>
      </c>
      <c r="C32" s="670">
        <v>2000</v>
      </c>
      <c r="D32" s="671"/>
      <c r="E32" s="670">
        <v>2000</v>
      </c>
      <c r="F32" s="670"/>
      <c r="G32" s="670"/>
      <c r="H32" s="672"/>
      <c r="I32" s="670"/>
      <c r="J32" s="672"/>
      <c r="K32" s="670"/>
    </row>
    <row r="33" spans="1:11" hidden="1" x14ac:dyDescent="0.25">
      <c r="A33" s="668"/>
      <c r="B33" s="669" t="s">
        <v>812</v>
      </c>
      <c r="C33" s="670"/>
      <c r="D33" s="671"/>
      <c r="E33" s="670"/>
      <c r="F33" s="679"/>
      <c r="G33" s="670"/>
      <c r="H33" s="672"/>
      <c r="I33" s="670"/>
      <c r="J33" s="672"/>
      <c r="K33" s="670"/>
    </row>
    <row r="34" spans="1:11" hidden="1" x14ac:dyDescent="0.25">
      <c r="A34" s="668"/>
      <c r="B34" s="669" t="s">
        <v>813</v>
      </c>
      <c r="C34" s="670"/>
      <c r="D34" s="671"/>
      <c r="E34" s="670"/>
      <c r="F34" s="670"/>
      <c r="G34" s="670"/>
      <c r="H34" s="672"/>
      <c r="I34" s="670"/>
      <c r="J34" s="672"/>
      <c r="K34" s="670"/>
    </row>
    <row r="35" spans="1:11" hidden="1" x14ac:dyDescent="0.25">
      <c r="A35" s="668">
        <v>21</v>
      </c>
      <c r="B35" s="669" t="s">
        <v>814</v>
      </c>
      <c r="C35" s="670"/>
      <c r="D35" s="671"/>
      <c r="E35" s="670"/>
      <c r="F35" s="670"/>
      <c r="G35" s="670"/>
      <c r="H35" s="672"/>
      <c r="I35" s="670"/>
      <c r="J35" s="672"/>
      <c r="K35" s="670"/>
    </row>
    <row r="36" spans="1:11" x14ac:dyDescent="0.25">
      <c r="A36" s="668">
        <v>21</v>
      </c>
      <c r="B36" s="669" t="s">
        <v>776</v>
      </c>
      <c r="C36" s="670">
        <v>4000</v>
      </c>
      <c r="D36" s="671"/>
      <c r="E36" s="670">
        <v>4000</v>
      </c>
      <c r="F36" s="670"/>
      <c r="G36" s="670"/>
      <c r="H36" s="672"/>
      <c r="I36" s="670"/>
      <c r="J36" s="672"/>
      <c r="K36" s="670"/>
    </row>
    <row r="37" spans="1:11" x14ac:dyDescent="0.25">
      <c r="A37" s="668">
        <v>22</v>
      </c>
      <c r="B37" s="669" t="s">
        <v>815</v>
      </c>
      <c r="C37" s="670">
        <v>100000</v>
      </c>
      <c r="D37" s="671"/>
      <c r="E37" s="670">
        <v>100000</v>
      </c>
      <c r="F37" s="670"/>
      <c r="G37" s="670"/>
      <c r="H37" s="672"/>
      <c r="I37" s="670"/>
      <c r="J37" s="672"/>
      <c r="K37" s="670"/>
    </row>
    <row r="38" spans="1:11" x14ac:dyDescent="0.25">
      <c r="B38" s="673" t="s">
        <v>816</v>
      </c>
      <c r="C38" s="675"/>
      <c r="D38" s="670"/>
      <c r="E38" s="675"/>
      <c r="F38" s="670"/>
      <c r="G38" s="675"/>
      <c r="H38" s="672"/>
      <c r="I38" s="670"/>
      <c r="J38" s="672"/>
      <c r="K38" s="670"/>
    </row>
    <row r="39" spans="1:11" hidden="1" x14ac:dyDescent="0.25">
      <c r="A39" s="668"/>
      <c r="B39" s="669" t="s">
        <v>817</v>
      </c>
      <c r="C39" s="670"/>
      <c r="D39" s="671"/>
      <c r="E39" s="670"/>
      <c r="F39" s="670"/>
      <c r="G39" s="670"/>
      <c r="H39" s="672"/>
      <c r="I39" s="670"/>
      <c r="J39" s="672"/>
      <c r="K39" s="670"/>
    </row>
    <row r="40" spans="1:11" hidden="1" x14ac:dyDescent="0.25">
      <c r="A40" s="668"/>
      <c r="B40" s="669" t="s">
        <v>818</v>
      </c>
      <c r="C40" s="670"/>
      <c r="D40" s="671"/>
      <c r="E40" s="670"/>
      <c r="F40" s="670"/>
      <c r="G40" s="670"/>
      <c r="H40" s="672"/>
      <c r="I40" s="670"/>
      <c r="J40" s="672"/>
      <c r="K40" s="670"/>
    </row>
    <row r="41" spans="1:11" hidden="1" x14ac:dyDescent="0.25">
      <c r="A41" s="668"/>
      <c r="B41" s="669" t="s">
        <v>819</v>
      </c>
      <c r="C41" s="670"/>
      <c r="D41" s="671"/>
      <c r="E41" s="670"/>
      <c r="F41" s="670"/>
      <c r="G41" s="670"/>
      <c r="H41" s="672"/>
      <c r="I41" s="670"/>
      <c r="J41" s="672"/>
      <c r="K41" s="670"/>
    </row>
    <row r="42" spans="1:11" hidden="1" x14ac:dyDescent="0.25">
      <c r="A42" s="668"/>
      <c r="B42" s="669" t="s">
        <v>820</v>
      </c>
      <c r="C42" s="670"/>
      <c r="D42" s="671"/>
      <c r="E42" s="670"/>
      <c r="F42" s="670"/>
      <c r="G42" s="670"/>
      <c r="H42" s="672"/>
      <c r="I42" s="670"/>
      <c r="J42" s="672"/>
      <c r="K42" s="670"/>
    </row>
    <row r="43" spans="1:11" x14ac:dyDescent="0.25">
      <c r="A43" s="668">
        <v>23</v>
      </c>
      <c r="B43" s="669" t="s">
        <v>1506</v>
      </c>
      <c r="C43" s="670">
        <v>3000</v>
      </c>
      <c r="D43" s="671"/>
      <c r="E43" s="670">
        <v>3000</v>
      </c>
      <c r="F43" s="670"/>
      <c r="G43" s="670"/>
      <c r="H43" s="672"/>
      <c r="I43" s="670"/>
      <c r="J43" s="672"/>
      <c r="K43" s="670"/>
    </row>
    <row r="44" spans="1:11" hidden="1" x14ac:dyDescent="0.25">
      <c r="A44" s="668"/>
      <c r="B44" s="669" t="s">
        <v>821</v>
      </c>
      <c r="C44" s="670"/>
      <c r="D44" s="671"/>
      <c r="E44" s="670"/>
      <c r="F44" s="670"/>
      <c r="G44" s="670"/>
      <c r="H44" s="672"/>
      <c r="I44" s="670"/>
      <c r="J44" s="672"/>
      <c r="K44" s="670"/>
    </row>
    <row r="45" spans="1:11" hidden="1" x14ac:dyDescent="0.25">
      <c r="A45" s="668"/>
      <c r="B45" s="669" t="s">
        <v>822</v>
      </c>
      <c r="C45" s="670"/>
      <c r="D45" s="671"/>
      <c r="E45" s="670"/>
      <c r="F45" s="670"/>
      <c r="G45" s="670"/>
      <c r="H45" s="672"/>
      <c r="I45" s="670"/>
      <c r="J45" s="672"/>
      <c r="K45" s="670"/>
    </row>
    <row r="46" spans="1:11" x14ac:dyDescent="0.25">
      <c r="B46" s="673" t="s">
        <v>823</v>
      </c>
      <c r="C46" s="680"/>
      <c r="D46" s="670"/>
      <c r="E46" s="680"/>
      <c r="F46" s="670"/>
      <c r="G46" s="680"/>
      <c r="H46" s="672"/>
      <c r="I46" s="670"/>
      <c r="J46" s="672"/>
      <c r="K46" s="670"/>
    </row>
    <row r="47" spans="1:11" x14ac:dyDescent="0.25">
      <c r="A47" s="668">
        <v>24</v>
      </c>
      <c r="B47" s="681" t="s">
        <v>824</v>
      </c>
      <c r="C47" s="670">
        <v>4500</v>
      </c>
      <c r="D47" s="671"/>
      <c r="E47" s="670">
        <v>4500</v>
      </c>
      <c r="F47" s="670"/>
      <c r="G47" s="670"/>
      <c r="H47" s="672"/>
      <c r="I47" s="670"/>
      <c r="J47" s="672"/>
      <c r="K47" s="670"/>
    </row>
    <row r="48" spans="1:11" hidden="1" x14ac:dyDescent="0.25">
      <c r="A48" s="668"/>
      <c r="B48" s="669" t="s">
        <v>825</v>
      </c>
      <c r="C48" s="670"/>
      <c r="D48" s="671"/>
      <c r="E48" s="670"/>
      <c r="F48" s="670"/>
      <c r="G48" s="670"/>
      <c r="H48" s="672"/>
      <c r="I48" s="670"/>
      <c r="J48" s="672"/>
      <c r="K48" s="670"/>
    </row>
    <row r="49" spans="1:11" hidden="1" x14ac:dyDescent="0.25">
      <c r="A49" s="668"/>
      <c r="B49" s="669" t="s">
        <v>826</v>
      </c>
      <c r="C49" s="670"/>
      <c r="D49" s="671"/>
      <c r="E49" s="670"/>
      <c r="F49" s="679"/>
      <c r="G49" s="670"/>
      <c r="H49" s="672"/>
      <c r="I49" s="670"/>
      <c r="J49" s="672"/>
      <c r="K49" s="670"/>
    </row>
    <row r="50" spans="1:11" x14ac:dyDescent="0.25">
      <c r="B50" s="673" t="s">
        <v>827</v>
      </c>
      <c r="C50" s="674"/>
      <c r="D50" s="670"/>
      <c r="E50" s="674"/>
      <c r="F50" s="670"/>
      <c r="G50" s="674"/>
      <c r="H50" s="672"/>
      <c r="I50" s="670"/>
      <c r="J50" s="672"/>
      <c r="K50" s="670"/>
    </row>
    <row r="51" spans="1:11" hidden="1" x14ac:dyDescent="0.25">
      <c r="A51" s="668"/>
      <c r="B51" s="681" t="s">
        <v>828</v>
      </c>
      <c r="C51" s="670"/>
      <c r="D51" s="671"/>
      <c r="E51" s="670"/>
      <c r="F51" s="670"/>
      <c r="G51" s="670"/>
      <c r="H51" s="672"/>
      <c r="I51" s="670"/>
      <c r="J51" s="672"/>
      <c r="K51" s="670"/>
    </row>
    <row r="52" spans="1:11" x14ac:dyDescent="0.25">
      <c r="A52" s="668">
        <v>25</v>
      </c>
      <c r="B52" s="681" t="s">
        <v>829</v>
      </c>
      <c r="C52" s="670">
        <v>10000</v>
      </c>
      <c r="D52" s="671"/>
      <c r="E52" s="670">
        <v>10000</v>
      </c>
      <c r="F52" s="670"/>
      <c r="G52" s="670"/>
      <c r="H52" s="672"/>
      <c r="I52" s="670"/>
      <c r="J52" s="672"/>
      <c r="K52" s="670"/>
    </row>
    <row r="53" spans="1:11" hidden="1" x14ac:dyDescent="0.25">
      <c r="A53" s="668"/>
      <c r="B53" s="669" t="s">
        <v>830</v>
      </c>
      <c r="C53" s="670"/>
      <c r="D53" s="671"/>
      <c r="E53" s="670"/>
      <c r="F53" s="670"/>
      <c r="G53" s="670"/>
      <c r="H53" s="672"/>
      <c r="I53" s="670"/>
      <c r="J53" s="672"/>
      <c r="K53" s="670"/>
    </row>
    <row r="54" spans="1:11" x14ac:dyDescent="0.25">
      <c r="A54" s="668">
        <v>26</v>
      </c>
      <c r="B54" s="669" t="s">
        <v>1242</v>
      </c>
      <c r="C54" s="670">
        <f>+'11. melléklet (KVA)'!H20</f>
        <v>19549</v>
      </c>
      <c r="D54" s="671"/>
      <c r="E54" s="670">
        <v>19549</v>
      </c>
      <c r="F54" s="670"/>
      <c r="G54" s="670"/>
      <c r="H54" s="672"/>
      <c r="I54" s="670"/>
      <c r="J54" s="672"/>
      <c r="K54" s="670"/>
    </row>
    <row r="55" spans="1:11" x14ac:dyDescent="0.25">
      <c r="A55" s="668">
        <v>27</v>
      </c>
      <c r="B55" s="669" t="s">
        <v>831</v>
      </c>
      <c r="C55" s="670">
        <v>10000</v>
      </c>
      <c r="D55" s="671"/>
      <c r="E55" s="670">
        <v>10000</v>
      </c>
      <c r="F55" s="670"/>
      <c r="G55" s="670"/>
      <c r="H55" s="672"/>
      <c r="I55" s="670"/>
      <c r="J55" s="672"/>
      <c r="K55" s="670"/>
    </row>
    <row r="56" spans="1:11" x14ac:dyDescent="0.25">
      <c r="A56" s="668">
        <v>28</v>
      </c>
      <c r="B56" s="681" t="s">
        <v>1504</v>
      </c>
      <c r="C56" s="670">
        <v>60000</v>
      </c>
      <c r="D56" s="671"/>
      <c r="E56" s="670">
        <f>60000-60000</f>
        <v>0</v>
      </c>
      <c r="F56" s="670"/>
      <c r="G56" s="670"/>
      <c r="H56" s="672"/>
      <c r="I56" s="670"/>
      <c r="J56" s="672"/>
      <c r="K56" s="670"/>
    </row>
    <row r="57" spans="1:11" x14ac:dyDescent="0.25">
      <c r="A57" s="668">
        <v>29</v>
      </c>
      <c r="B57" s="669" t="s">
        <v>832</v>
      </c>
      <c r="C57" s="670">
        <v>10000</v>
      </c>
      <c r="D57" s="671"/>
      <c r="E57" s="670">
        <v>10000</v>
      </c>
      <c r="F57" s="670"/>
      <c r="G57" s="670"/>
      <c r="H57" s="672"/>
      <c r="I57" s="670"/>
      <c r="J57" s="672"/>
      <c r="K57" s="670"/>
    </row>
    <row r="58" spans="1:11" x14ac:dyDescent="0.25">
      <c r="A58" s="668"/>
      <c r="B58" s="669"/>
      <c r="C58" s="670"/>
      <c r="D58" s="671"/>
      <c r="E58" s="670"/>
      <c r="F58" s="670"/>
      <c r="G58" s="670"/>
      <c r="H58" s="672"/>
      <c r="I58" s="670"/>
      <c r="J58" s="672"/>
      <c r="K58" s="670"/>
    </row>
    <row r="59" spans="1:11" x14ac:dyDescent="0.25">
      <c r="A59" s="668"/>
      <c r="B59" s="669"/>
      <c r="C59" s="670"/>
      <c r="D59" s="682"/>
      <c r="E59" s="683"/>
      <c r="F59" s="683"/>
      <c r="G59" s="683"/>
      <c r="H59" s="684"/>
      <c r="I59" s="683"/>
      <c r="J59" s="684"/>
      <c r="K59" s="683"/>
    </row>
    <row r="66" spans="2:3" x14ac:dyDescent="0.25">
      <c r="B66" s="661"/>
      <c r="C66" s="661"/>
    </row>
  </sheetData>
  <mergeCells count="4">
    <mergeCell ref="A1:B1"/>
    <mergeCell ref="A2:B2"/>
    <mergeCell ref="A3:B3"/>
    <mergeCell ref="A4:B4"/>
  </mergeCells>
  <conditionalFormatting sqref="D2:D5 D12 D25 D38 D46 D50 D60:D1048576">
    <cfRule type="cellIs" dxfId="4" priority="5" operator="equal">
      <formula>0</formula>
    </cfRule>
  </conditionalFormatting>
  <conditionalFormatting sqref="D1">
    <cfRule type="cellIs" dxfId="3" priority="4" operator="equal">
      <formula>0</formula>
    </cfRule>
  </conditionalFormatting>
  <conditionalFormatting sqref="F1">
    <cfRule type="cellIs" dxfId="2" priority="3" operator="equal">
      <formula>0</formula>
    </cfRule>
  </conditionalFormatting>
  <conditionalFormatting sqref="H1">
    <cfRule type="cellIs" dxfId="1" priority="2" operator="equal">
      <formula>0</formula>
    </cfRule>
  </conditionalFormatting>
  <conditionalFormatting sqref="J1">
    <cfRule type="cellIs" dxfId="0" priority="1" operator="equal">
      <formula>0</formula>
    </cfRule>
  </conditionalFormatting>
  <printOptions gridLines="1"/>
  <pageMargins left="1.04" right="0.15748031496062992" top="0.74803149606299213" bottom="0.74803149606299213" header="0.31496062992125984" footer="0.31496062992125984"/>
  <pageSetup paperSize="9" scale="85" fitToHeight="0" orientation="portrait" r:id="rId1"/>
  <headerFooter>
    <oddHeader>&amp;R5. melléklet a .../2022. (V. .....) önkormányzati rendelethez
6. melléklet az 1./2022. (II. 28.)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zoomScaleNormal="100" zoomScaleSheetLayoutView="100" workbookViewId="0">
      <selection activeCell="B2" sqref="B2"/>
    </sheetView>
  </sheetViews>
  <sheetFormatPr defaultColWidth="9.140625" defaultRowHeight="15.75" x14ac:dyDescent="0.25"/>
  <cols>
    <col min="1" max="1" width="70.7109375" style="914" customWidth="1"/>
    <col min="2" max="2" width="15.7109375" style="914" customWidth="1"/>
    <col min="3" max="3" width="10.7109375" style="915" hidden="1" customWidth="1"/>
    <col min="4" max="4" width="15.7109375" style="914" hidden="1" customWidth="1"/>
    <col min="5" max="5" width="9.140625" style="893"/>
    <col min="6" max="16384" width="9.140625" style="914"/>
  </cols>
  <sheetData>
    <row r="1" spans="1:4" ht="48" thickBot="1" x14ac:dyDescent="0.3">
      <c r="A1" s="889"/>
      <c r="B1" s="890" t="s">
        <v>92</v>
      </c>
      <c r="C1" s="891" t="s">
        <v>1322</v>
      </c>
      <c r="D1" s="892" t="s">
        <v>1323</v>
      </c>
    </row>
    <row r="2" spans="1:4" ht="16.5" thickBot="1" x14ac:dyDescent="0.3">
      <c r="A2" s="894" t="s">
        <v>159</v>
      </c>
      <c r="B2" s="890">
        <f>SUM(B3+B6+B14+B18+B22+B26+B10+B30)</f>
        <v>569.75</v>
      </c>
      <c r="C2" s="895" t="e">
        <f>D2-B2</f>
        <v>#REF!</v>
      </c>
      <c r="D2" s="896" t="e">
        <f>SUM(D3+D6+D14+D18+D22+#REF!+D26+D10+D30)</f>
        <v>#REF!</v>
      </c>
    </row>
    <row r="3" spans="1:4" x14ac:dyDescent="0.25">
      <c r="A3" s="897" t="s">
        <v>151</v>
      </c>
      <c r="B3" s="898">
        <f>B4+B5</f>
        <v>35</v>
      </c>
      <c r="C3" s="899"/>
      <c r="D3" s="898">
        <f>D4+D5</f>
        <v>35</v>
      </c>
    </row>
    <row r="4" spans="1:4" x14ac:dyDescent="0.25">
      <c r="A4" s="900" t="s">
        <v>1324</v>
      </c>
      <c r="B4" s="901">
        <v>15</v>
      </c>
      <c r="C4" s="902"/>
      <c r="D4" s="901">
        <v>15</v>
      </c>
    </row>
    <row r="5" spans="1:4" x14ac:dyDescent="0.25">
      <c r="A5" s="900" t="s">
        <v>1325</v>
      </c>
      <c r="B5" s="901">
        <v>20</v>
      </c>
      <c r="C5" s="902"/>
      <c r="D5" s="901">
        <v>20</v>
      </c>
    </row>
    <row r="6" spans="1:4" x14ac:dyDescent="0.25">
      <c r="A6" s="903" t="s">
        <v>1326</v>
      </c>
      <c r="B6" s="904">
        <f>+B7+B8+B9</f>
        <v>129</v>
      </c>
      <c r="C6" s="905">
        <f>D6-B6</f>
        <v>-20</v>
      </c>
      <c r="D6" s="904">
        <f>D7+D8+D9</f>
        <v>109</v>
      </c>
    </row>
    <row r="7" spans="1:4" x14ac:dyDescent="0.25">
      <c r="A7" s="900" t="s">
        <v>1327</v>
      </c>
      <c r="B7" s="901">
        <f>20+105-2</f>
        <v>123</v>
      </c>
      <c r="C7" s="902">
        <f>D7-B7</f>
        <v>-18</v>
      </c>
      <c r="D7" s="901">
        <f>102+3</f>
        <v>105</v>
      </c>
    </row>
    <row r="8" spans="1:4" x14ac:dyDescent="0.25">
      <c r="A8" s="900" t="s">
        <v>1328</v>
      </c>
      <c r="B8" s="901">
        <v>0</v>
      </c>
      <c r="C8" s="902"/>
      <c r="D8" s="901">
        <v>0</v>
      </c>
    </row>
    <row r="9" spans="1:4" x14ac:dyDescent="0.25">
      <c r="A9" s="900" t="s">
        <v>1329</v>
      </c>
      <c r="B9" s="901">
        <f>4+2</f>
        <v>6</v>
      </c>
      <c r="C9" s="902"/>
      <c r="D9" s="901">
        <v>4</v>
      </c>
    </row>
    <row r="10" spans="1:4" ht="31.5" x14ac:dyDescent="0.25">
      <c r="A10" s="906" t="s">
        <v>154</v>
      </c>
      <c r="B10" s="907">
        <f>SUM(B11:B13)</f>
        <v>92.5</v>
      </c>
      <c r="C10" s="908"/>
      <c r="D10" s="907">
        <f>SUM(D11:D13)</f>
        <v>87.5</v>
      </c>
    </row>
    <row r="11" spans="1:4" x14ac:dyDescent="0.25">
      <c r="A11" s="900" t="s">
        <v>1327</v>
      </c>
      <c r="B11" s="668">
        <v>0</v>
      </c>
      <c r="C11" s="902"/>
      <c r="D11" s="668">
        <v>0</v>
      </c>
    </row>
    <row r="12" spans="1:4" x14ac:dyDescent="0.25">
      <c r="A12" s="900" t="s">
        <v>1328</v>
      </c>
      <c r="B12" s="668">
        <f>5+87.5</f>
        <v>92.5</v>
      </c>
      <c r="C12" s="902"/>
      <c r="D12" s="668">
        <v>87.5</v>
      </c>
    </row>
    <row r="13" spans="1:4" x14ac:dyDescent="0.25">
      <c r="A13" s="900" t="s">
        <v>1329</v>
      </c>
      <c r="B13" s="668">
        <v>0</v>
      </c>
      <c r="C13" s="902"/>
      <c r="D13" s="668">
        <v>0</v>
      </c>
    </row>
    <row r="14" spans="1:4" x14ac:dyDescent="0.25">
      <c r="A14" s="909" t="s">
        <v>1330</v>
      </c>
      <c r="B14" s="904">
        <f>SUM(B15:B17)</f>
        <v>112.25</v>
      </c>
      <c r="C14" s="910"/>
      <c r="D14" s="904">
        <f>SUM(D15:D17)</f>
        <v>112.25</v>
      </c>
    </row>
    <row r="15" spans="1:4" x14ac:dyDescent="0.25">
      <c r="A15" s="900" t="s">
        <v>1327</v>
      </c>
      <c r="B15" s="901">
        <v>0</v>
      </c>
      <c r="C15" s="902"/>
      <c r="D15" s="901">
        <v>0</v>
      </c>
    </row>
    <row r="16" spans="1:4" x14ac:dyDescent="0.25">
      <c r="A16" s="900" t="s">
        <v>1328</v>
      </c>
      <c r="B16" s="901">
        <v>112.25</v>
      </c>
      <c r="C16" s="902"/>
      <c r="D16" s="901">
        <v>112.25</v>
      </c>
    </row>
    <row r="17" spans="1:4" x14ac:dyDescent="0.25">
      <c r="A17" s="900" t="s">
        <v>1329</v>
      </c>
      <c r="B17" s="901">
        <v>0</v>
      </c>
      <c r="C17" s="902"/>
      <c r="D17" s="901">
        <v>0</v>
      </c>
    </row>
    <row r="18" spans="1:4" ht="31.5" x14ac:dyDescent="0.25">
      <c r="A18" s="903" t="s">
        <v>156</v>
      </c>
      <c r="B18" s="904">
        <f>SUM(B19:B21)</f>
        <v>53</v>
      </c>
      <c r="C18" s="910"/>
      <c r="D18" s="904">
        <f>SUM(D19:D21)</f>
        <v>53</v>
      </c>
    </row>
    <row r="19" spans="1:4" x14ac:dyDescent="0.25">
      <c r="A19" s="900" t="s">
        <v>1327</v>
      </c>
      <c r="B19" s="901">
        <v>0</v>
      </c>
      <c r="C19" s="902"/>
      <c r="D19" s="901">
        <v>0</v>
      </c>
    </row>
    <row r="20" spans="1:4" x14ac:dyDescent="0.25">
      <c r="A20" s="900" t="s">
        <v>1328</v>
      </c>
      <c r="B20" s="901">
        <v>53</v>
      </c>
      <c r="C20" s="902"/>
      <c r="D20" s="901">
        <v>53</v>
      </c>
    </row>
    <row r="21" spans="1:4" x14ac:dyDescent="0.25">
      <c r="A21" s="900" t="s">
        <v>1329</v>
      </c>
      <c r="B21" s="901">
        <v>0</v>
      </c>
      <c r="C21" s="902"/>
      <c r="D21" s="901">
        <v>0</v>
      </c>
    </row>
    <row r="22" spans="1:4" ht="31.5" x14ac:dyDescent="0.25">
      <c r="A22" s="903" t="s">
        <v>157</v>
      </c>
      <c r="B22" s="904">
        <f>SUM(B23:B25)</f>
        <v>58</v>
      </c>
      <c r="C22" s="910"/>
      <c r="D22" s="904">
        <f>SUM(D23:D25)</f>
        <v>58</v>
      </c>
    </row>
    <row r="23" spans="1:4" x14ac:dyDescent="0.25">
      <c r="A23" s="900" t="s">
        <v>1327</v>
      </c>
      <c r="B23" s="901">
        <v>0</v>
      </c>
      <c r="C23" s="902"/>
      <c r="D23" s="901">
        <v>0</v>
      </c>
    </row>
    <row r="24" spans="1:4" x14ac:dyDescent="0.25">
      <c r="A24" s="900" t="s">
        <v>1328</v>
      </c>
      <c r="B24" s="901">
        <v>58</v>
      </c>
      <c r="C24" s="902"/>
      <c r="D24" s="901">
        <v>58</v>
      </c>
    </row>
    <row r="25" spans="1:4" x14ac:dyDescent="0.25">
      <c r="A25" s="900" t="s">
        <v>1329</v>
      </c>
      <c r="B25" s="901">
        <v>0</v>
      </c>
      <c r="C25" s="902"/>
      <c r="D25" s="901">
        <v>0</v>
      </c>
    </row>
    <row r="26" spans="1:4" ht="31.5" x14ac:dyDescent="0.25">
      <c r="A26" s="903" t="s">
        <v>1331</v>
      </c>
      <c r="B26" s="904">
        <f>SUM(B27:B29)</f>
        <v>82</v>
      </c>
      <c r="C26" s="910"/>
      <c r="D26" s="904">
        <f>SUM(D27:D29)</f>
        <v>83</v>
      </c>
    </row>
    <row r="27" spans="1:4" x14ac:dyDescent="0.25">
      <c r="A27" s="900" t="s">
        <v>1327</v>
      </c>
      <c r="B27" s="668">
        <v>0</v>
      </c>
      <c r="C27" s="902"/>
      <c r="D27" s="668">
        <v>0</v>
      </c>
    </row>
    <row r="28" spans="1:4" x14ac:dyDescent="0.25">
      <c r="A28" s="900" t="s">
        <v>1328</v>
      </c>
      <c r="B28" s="668">
        <v>0</v>
      </c>
      <c r="C28" s="902"/>
      <c r="D28" s="668">
        <v>83</v>
      </c>
    </row>
    <row r="29" spans="1:4" x14ac:dyDescent="0.25">
      <c r="A29" s="900" t="s">
        <v>1329</v>
      </c>
      <c r="B29" s="668">
        <v>82</v>
      </c>
      <c r="C29" s="902"/>
      <c r="D29" s="668">
        <v>0</v>
      </c>
    </row>
    <row r="30" spans="1:4" x14ac:dyDescent="0.25">
      <c r="A30" s="911" t="s">
        <v>158</v>
      </c>
      <c r="B30" s="907">
        <f>SUM(B31:B33)</f>
        <v>8</v>
      </c>
      <c r="C30" s="908"/>
      <c r="D30" s="907">
        <f>SUM(D31:D33)</f>
        <v>8</v>
      </c>
    </row>
    <row r="31" spans="1:4" x14ac:dyDescent="0.25">
      <c r="A31" s="900" t="s">
        <v>1327</v>
      </c>
      <c r="B31" s="668">
        <v>0</v>
      </c>
      <c r="C31" s="902"/>
      <c r="D31" s="668">
        <v>0</v>
      </c>
    </row>
    <row r="32" spans="1:4" x14ac:dyDescent="0.25">
      <c r="A32" s="900" t="s">
        <v>1328</v>
      </c>
      <c r="B32" s="668">
        <v>8</v>
      </c>
      <c r="C32" s="902"/>
      <c r="D32" s="668">
        <v>8</v>
      </c>
    </row>
    <row r="33" spans="1:4" x14ac:dyDescent="0.25">
      <c r="A33" s="900" t="s">
        <v>1329</v>
      </c>
      <c r="B33" s="668">
        <v>0</v>
      </c>
      <c r="C33" s="912"/>
      <c r="D33" s="913">
        <v>0</v>
      </c>
    </row>
    <row r="34" spans="1:4" x14ac:dyDescent="0.25">
      <c r="C34" s="914"/>
    </row>
    <row r="35" spans="1:4" x14ac:dyDescent="0.25">
      <c r="C35" s="914"/>
    </row>
    <row r="36" spans="1:4" x14ac:dyDescent="0.25">
      <c r="C36" s="914"/>
    </row>
    <row r="37" spans="1:4" x14ac:dyDescent="0.25">
      <c r="C37" s="914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&amp;R7. melléklet a .../2022. (II. .....)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view="pageBreakPreview" zoomScale="143" zoomScaleNormal="100" zoomScaleSheetLayoutView="143" workbookViewId="0">
      <selection activeCell="C5" sqref="C5"/>
    </sheetView>
  </sheetViews>
  <sheetFormatPr defaultRowHeight="15" x14ac:dyDescent="0.25"/>
  <cols>
    <col min="1" max="1" width="50.28515625" customWidth="1"/>
    <col min="2" max="2" width="17.7109375" customWidth="1"/>
    <col min="3" max="3" width="17" customWidth="1"/>
  </cols>
  <sheetData>
    <row r="1" spans="1:3" ht="45" customHeight="1" thickBot="1" x14ac:dyDescent="0.3">
      <c r="A1" s="1192" t="s">
        <v>1264</v>
      </c>
      <c r="B1" s="1192"/>
      <c r="C1" s="1192"/>
    </row>
    <row r="2" spans="1:3" x14ac:dyDescent="0.25">
      <c r="A2" s="990"/>
      <c r="B2" s="1193" t="s">
        <v>75</v>
      </c>
      <c r="C2" s="1194"/>
    </row>
    <row r="3" spans="1:3" ht="30" x14ac:dyDescent="0.25">
      <c r="A3" s="991" t="s">
        <v>1265</v>
      </c>
      <c r="B3" s="867">
        <f>750000+300000-50000</f>
        <v>1000000</v>
      </c>
      <c r="C3" s="992"/>
    </row>
    <row r="4" spans="1:3" ht="21.75" customHeight="1" x14ac:dyDescent="0.25">
      <c r="A4" s="993" t="s">
        <v>1266</v>
      </c>
      <c r="B4" s="645"/>
      <c r="C4" s="992"/>
    </row>
    <row r="5" spans="1:3" ht="18" customHeight="1" x14ac:dyDescent="0.25">
      <c r="A5" s="991" t="s">
        <v>1267</v>
      </c>
      <c r="B5" s="645"/>
      <c r="C5" s="992">
        <v>62761</v>
      </c>
    </row>
    <row r="6" spans="1:3" x14ac:dyDescent="0.25">
      <c r="A6" s="991" t="s">
        <v>1268</v>
      </c>
      <c r="B6" s="645"/>
      <c r="C6" s="992">
        <v>83820</v>
      </c>
    </row>
    <row r="7" spans="1:3" x14ac:dyDescent="0.25">
      <c r="A7" s="991" t="s">
        <v>1269</v>
      </c>
      <c r="B7" s="645"/>
      <c r="C7" s="992">
        <v>83820</v>
      </c>
    </row>
    <row r="8" spans="1:3" x14ac:dyDescent="0.25">
      <c r="A8" s="991"/>
      <c r="B8" s="645"/>
      <c r="C8" s="992"/>
    </row>
    <row r="9" spans="1:3" x14ac:dyDescent="0.25">
      <c r="A9" s="991" t="s">
        <v>1270</v>
      </c>
      <c r="B9" s="645"/>
      <c r="C9" s="992">
        <v>430000</v>
      </c>
    </row>
    <row r="10" spans="1:3" x14ac:dyDescent="0.25">
      <c r="A10" s="991" t="s">
        <v>945</v>
      </c>
      <c r="B10" s="645"/>
      <c r="C10" s="992">
        <v>70000</v>
      </c>
    </row>
    <row r="11" spans="1:3" x14ac:dyDescent="0.25">
      <c r="A11" s="991" t="s">
        <v>1321</v>
      </c>
      <c r="B11" s="645"/>
      <c r="C11" s="992">
        <v>22824</v>
      </c>
    </row>
    <row r="12" spans="1:3" x14ac:dyDescent="0.25">
      <c r="A12" s="991" t="s">
        <v>760</v>
      </c>
      <c r="B12" s="645"/>
      <c r="C12" s="992">
        <v>1775</v>
      </c>
    </row>
    <row r="13" spans="1:3" x14ac:dyDescent="0.25">
      <c r="A13" s="991" t="s">
        <v>761</v>
      </c>
      <c r="B13" s="645"/>
      <c r="C13" s="992">
        <v>15000</v>
      </c>
    </row>
    <row r="14" spans="1:3" ht="60" x14ac:dyDescent="0.25">
      <c r="A14" s="994" t="s">
        <v>1271</v>
      </c>
      <c r="B14" s="645"/>
      <c r="C14" s="992">
        <v>5000</v>
      </c>
    </row>
    <row r="15" spans="1:3" ht="60" hidden="1" x14ac:dyDescent="0.25">
      <c r="A15" s="994" t="s">
        <v>1272</v>
      </c>
      <c r="B15" s="645"/>
      <c r="C15" s="992"/>
    </row>
    <row r="16" spans="1:3" x14ac:dyDescent="0.25">
      <c r="A16" s="991" t="s">
        <v>762</v>
      </c>
      <c r="B16" s="645"/>
      <c r="C16" s="992">
        <v>5000</v>
      </c>
    </row>
    <row r="17" spans="1:3" s="649" customFormat="1" x14ac:dyDescent="0.25">
      <c r="A17" s="995" t="s">
        <v>1502</v>
      </c>
      <c r="B17" s="647"/>
      <c r="C17" s="996">
        <v>220000</v>
      </c>
    </row>
    <row r="18" spans="1:3" ht="15.75" thickBot="1" x14ac:dyDescent="0.3">
      <c r="A18" s="997"/>
      <c r="B18" s="998" t="s">
        <v>62</v>
      </c>
      <c r="C18" s="999">
        <f>SUM(C5:C17)</f>
        <v>1000000</v>
      </c>
    </row>
    <row r="20" spans="1:3" x14ac:dyDescent="0.25">
      <c r="C20" s="564"/>
    </row>
  </sheetData>
  <mergeCells count="2">
    <mergeCell ref="A1:C1"/>
    <mergeCell ref="B2:C2"/>
  </mergeCells>
  <pageMargins left="0.7" right="0.7" top="0.85" bottom="0.75" header="0.3" footer="0.3"/>
  <pageSetup paperSize="9" orientation="portrait" r:id="rId1"/>
  <headerFooter>
    <oddHeader>&amp;R8. melléklet a .../2022. (II. .....)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view="pageBreakPreview" zoomScaleNormal="100" zoomScaleSheetLayoutView="100" workbookViewId="0">
      <selection activeCell="C5" sqref="C5"/>
    </sheetView>
  </sheetViews>
  <sheetFormatPr defaultRowHeight="15" x14ac:dyDescent="0.25"/>
  <cols>
    <col min="2" max="2" width="55.140625" style="533" customWidth="1"/>
    <col min="3" max="3" width="12.7109375" style="564" bestFit="1" customWidth="1"/>
    <col min="4" max="5" width="13.85546875" customWidth="1"/>
    <col min="6" max="6" width="14.42578125" customWidth="1"/>
  </cols>
  <sheetData>
    <row r="1" spans="1:6" ht="75.75" customHeight="1" x14ac:dyDescent="0.25">
      <c r="A1" s="1195" t="s">
        <v>1273</v>
      </c>
      <c r="B1" s="1195"/>
      <c r="C1" s="1195"/>
      <c r="D1" s="1195"/>
      <c r="E1" s="1195"/>
      <c r="F1" s="1195"/>
    </row>
    <row r="2" spans="1:6" ht="16.5" customHeight="1" x14ac:dyDescent="0.25">
      <c r="A2" s="868"/>
      <c r="B2" s="868"/>
      <c r="C2" s="869"/>
      <c r="F2" s="870" t="s">
        <v>75</v>
      </c>
    </row>
    <row r="3" spans="1:6" x14ac:dyDescent="0.25">
      <c r="A3" s="871" t="s">
        <v>40</v>
      </c>
      <c r="B3" s="871" t="s">
        <v>24</v>
      </c>
      <c r="C3" s="872" t="s">
        <v>30</v>
      </c>
      <c r="D3" s="872" t="s">
        <v>39</v>
      </c>
      <c r="E3" s="872" t="s">
        <v>73</v>
      </c>
      <c r="F3" s="872" t="s">
        <v>77</v>
      </c>
    </row>
    <row r="4" spans="1:6" x14ac:dyDescent="0.25">
      <c r="A4" s="873" t="s">
        <v>1274</v>
      </c>
      <c r="B4" s="874" t="s">
        <v>1275</v>
      </c>
      <c r="C4" s="875">
        <v>2991479</v>
      </c>
      <c r="D4" s="875">
        <v>2991479</v>
      </c>
      <c r="E4" s="875">
        <v>2991479</v>
      </c>
      <c r="F4" s="875">
        <v>2991479</v>
      </c>
    </row>
    <row r="5" spans="1:6" x14ac:dyDescent="0.25">
      <c r="A5" s="873" t="s">
        <v>1276</v>
      </c>
      <c r="B5" s="874" t="s">
        <v>1277</v>
      </c>
      <c r="C5" s="875">
        <v>1245000</v>
      </c>
      <c r="D5" s="875">
        <v>1245000</v>
      </c>
      <c r="E5" s="875">
        <v>1245000</v>
      </c>
      <c r="F5" s="875">
        <v>1245000</v>
      </c>
    </row>
    <row r="6" spans="1:6" x14ac:dyDescent="0.25">
      <c r="A6" s="873" t="s">
        <v>1278</v>
      </c>
      <c r="B6" s="874" t="s">
        <v>1279</v>
      </c>
      <c r="C6" s="875"/>
      <c r="D6" s="875">
        <v>0</v>
      </c>
      <c r="E6" s="875"/>
      <c r="F6" s="875">
        <v>0</v>
      </c>
    </row>
    <row r="7" spans="1:6" ht="30" x14ac:dyDescent="0.25">
      <c r="A7" s="873" t="s">
        <v>1280</v>
      </c>
      <c r="B7" s="874" t="s">
        <v>1281</v>
      </c>
      <c r="C7" s="875">
        <v>1350000</v>
      </c>
      <c r="D7" s="875">
        <v>1050000</v>
      </c>
      <c r="E7" s="875">
        <v>200000</v>
      </c>
      <c r="F7" s="875">
        <v>200000</v>
      </c>
    </row>
    <row r="8" spans="1:6" ht="30" x14ac:dyDescent="0.25">
      <c r="A8" s="873" t="s">
        <v>1282</v>
      </c>
      <c r="B8" s="874" t="s">
        <v>1283</v>
      </c>
      <c r="C8" s="875"/>
      <c r="D8" s="875"/>
      <c r="E8" s="875"/>
      <c r="F8" s="875"/>
    </row>
    <row r="9" spans="1:6" x14ac:dyDescent="0.25">
      <c r="A9" s="873" t="s">
        <v>1284</v>
      </c>
      <c r="B9" s="874" t="s">
        <v>1285</v>
      </c>
      <c r="C9" s="875"/>
      <c r="D9" s="875"/>
      <c r="E9" s="875"/>
      <c r="F9" s="875"/>
    </row>
    <row r="10" spans="1:6" x14ac:dyDescent="0.25">
      <c r="A10" s="873" t="s">
        <v>1286</v>
      </c>
      <c r="B10" s="874" t="s">
        <v>1287</v>
      </c>
      <c r="C10" s="875"/>
      <c r="D10" s="875"/>
      <c r="E10" s="875"/>
      <c r="F10" s="875"/>
    </row>
    <row r="11" spans="1:6" x14ac:dyDescent="0.25">
      <c r="A11" s="876" t="s">
        <v>1288</v>
      </c>
      <c r="B11" s="877" t="s">
        <v>1289</v>
      </c>
      <c r="C11" s="878">
        <f>SUM(C4:C10)</f>
        <v>5586479</v>
      </c>
      <c r="D11" s="878">
        <f t="shared" ref="D11:F11" si="0">SUM(D4:D10)</f>
        <v>5286479</v>
      </c>
      <c r="E11" s="878">
        <f t="shared" ref="E11" si="1">SUM(E4:E10)</f>
        <v>4436479</v>
      </c>
      <c r="F11" s="878">
        <f t="shared" si="0"/>
        <v>4436479</v>
      </c>
    </row>
    <row r="12" spans="1:6" s="649" customFormat="1" x14ac:dyDescent="0.25">
      <c r="A12" s="879" t="s">
        <v>1290</v>
      </c>
      <c r="B12" s="880" t="s">
        <v>1291</v>
      </c>
      <c r="C12" s="881">
        <f>C11*0.5</f>
        <v>2793239.5</v>
      </c>
      <c r="D12" s="881">
        <f t="shared" ref="D12:F12" si="2">D11*0.5</f>
        <v>2643239.5</v>
      </c>
      <c r="E12" s="881">
        <f t="shared" ref="E12" si="3">E11*0.5</f>
        <v>2218239.5</v>
      </c>
      <c r="F12" s="881">
        <f t="shared" si="2"/>
        <v>2218239.5</v>
      </c>
    </row>
    <row r="13" spans="1:6" ht="25.5" x14ac:dyDescent="0.25">
      <c r="A13" s="876" t="s">
        <v>1292</v>
      </c>
      <c r="B13" s="877" t="s">
        <v>1293</v>
      </c>
      <c r="C13" s="878">
        <f>SUM(C14:C21)</f>
        <v>0</v>
      </c>
      <c r="D13" s="878">
        <f t="shared" ref="D13:F13" si="4">SUM(D14:D20)</f>
        <v>0</v>
      </c>
      <c r="E13" s="878">
        <f t="shared" si="4"/>
        <v>0</v>
      </c>
      <c r="F13" s="878">
        <f t="shared" si="4"/>
        <v>0</v>
      </c>
    </row>
    <row r="14" spans="1:6" x14ac:dyDescent="0.25">
      <c r="A14" s="873" t="s">
        <v>1294</v>
      </c>
      <c r="B14" s="882" t="s">
        <v>1295</v>
      </c>
      <c r="C14" s="883"/>
      <c r="D14" s="883"/>
      <c r="E14" s="883"/>
      <c r="F14" s="883"/>
    </row>
    <row r="15" spans="1:6" x14ac:dyDescent="0.25">
      <c r="A15" s="873" t="s">
        <v>1296</v>
      </c>
      <c r="B15" s="882" t="s">
        <v>1297</v>
      </c>
      <c r="C15" s="875"/>
      <c r="D15" s="875"/>
      <c r="E15" s="875"/>
      <c r="F15" s="875"/>
    </row>
    <row r="16" spans="1:6" ht="30" x14ac:dyDescent="0.25">
      <c r="A16" s="873" t="s">
        <v>1298</v>
      </c>
      <c r="B16" s="882" t="s">
        <v>1299</v>
      </c>
      <c r="C16" s="875"/>
      <c r="D16" s="875"/>
      <c r="E16" s="875"/>
      <c r="F16" s="875"/>
    </row>
    <row r="17" spans="1:6" x14ac:dyDescent="0.25">
      <c r="A17" s="873" t="s">
        <v>1300</v>
      </c>
      <c r="B17" s="882" t="s">
        <v>1301</v>
      </c>
      <c r="C17" s="875"/>
      <c r="D17" s="875"/>
      <c r="E17" s="875"/>
      <c r="F17" s="875"/>
    </row>
    <row r="18" spans="1:6" x14ac:dyDescent="0.25">
      <c r="A18" s="873" t="s">
        <v>1302</v>
      </c>
      <c r="B18" s="882" t="s">
        <v>1303</v>
      </c>
      <c r="C18" s="875"/>
      <c r="D18" s="875"/>
      <c r="E18" s="875"/>
      <c r="F18" s="875"/>
    </row>
    <row r="19" spans="1:6" x14ac:dyDescent="0.25">
      <c r="A19" s="873" t="s">
        <v>1304</v>
      </c>
      <c r="B19" s="882" t="s">
        <v>1305</v>
      </c>
      <c r="C19" s="875"/>
      <c r="D19" s="875"/>
      <c r="E19" s="875"/>
      <c r="F19" s="875"/>
    </row>
    <row r="20" spans="1:6" x14ac:dyDescent="0.25">
      <c r="A20" s="873" t="s">
        <v>1306</v>
      </c>
      <c r="B20" s="882" t="s">
        <v>1307</v>
      </c>
      <c r="C20" s="875"/>
      <c r="D20" s="875"/>
      <c r="E20" s="875"/>
      <c r="F20" s="875"/>
    </row>
    <row r="21" spans="1:6" ht="30" x14ac:dyDescent="0.25">
      <c r="A21" s="873" t="s">
        <v>1308</v>
      </c>
      <c r="B21" s="882" t="s">
        <v>1309</v>
      </c>
      <c r="C21" s="884"/>
      <c r="D21" s="884"/>
      <c r="E21" s="884"/>
      <c r="F21" s="884"/>
    </row>
    <row r="22" spans="1:6" ht="25.5" x14ac:dyDescent="0.25">
      <c r="A22" s="876">
        <v>19</v>
      </c>
      <c r="B22" s="885" t="s">
        <v>1310</v>
      </c>
      <c r="C22" s="878">
        <f>SUM(C23:C30)</f>
        <v>0</v>
      </c>
      <c r="D22" s="878">
        <f t="shared" ref="D22" si="5">SUM(D23:D30)</f>
        <v>0</v>
      </c>
      <c r="E22" s="878">
        <v>0</v>
      </c>
      <c r="F22" s="878">
        <v>0</v>
      </c>
    </row>
    <row r="23" spans="1:6" x14ac:dyDescent="0.25">
      <c r="A23" s="873" t="s">
        <v>1311</v>
      </c>
      <c r="B23" s="882" t="s">
        <v>1295</v>
      </c>
      <c r="C23" s="875"/>
      <c r="D23" s="875"/>
      <c r="E23" s="875"/>
      <c r="F23" s="875"/>
    </row>
    <row r="24" spans="1:6" x14ac:dyDescent="0.25">
      <c r="A24" s="873" t="s">
        <v>1312</v>
      </c>
      <c r="B24" s="882" t="s">
        <v>1297</v>
      </c>
      <c r="C24" s="875"/>
      <c r="D24" s="875"/>
      <c r="E24" s="875"/>
      <c r="F24" s="875"/>
    </row>
    <row r="25" spans="1:6" ht="30" x14ac:dyDescent="0.25">
      <c r="A25" s="873" t="s">
        <v>1313</v>
      </c>
      <c r="B25" s="882" t="s">
        <v>1299</v>
      </c>
      <c r="C25" s="875"/>
      <c r="D25" s="875"/>
      <c r="E25" s="875"/>
      <c r="F25" s="875"/>
    </row>
    <row r="26" spans="1:6" x14ac:dyDescent="0.25">
      <c r="A26" s="873" t="s">
        <v>1314</v>
      </c>
      <c r="B26" s="882" t="s">
        <v>1301</v>
      </c>
      <c r="C26" s="875"/>
      <c r="D26" s="875"/>
      <c r="E26" s="875"/>
      <c r="F26" s="875"/>
    </row>
    <row r="27" spans="1:6" x14ac:dyDescent="0.25">
      <c r="A27" s="873" t="s">
        <v>1315</v>
      </c>
      <c r="B27" s="882" t="s">
        <v>1303</v>
      </c>
      <c r="C27" s="875"/>
      <c r="D27" s="875"/>
      <c r="E27" s="875"/>
      <c r="F27" s="875"/>
    </row>
    <row r="28" spans="1:6" x14ac:dyDescent="0.25">
      <c r="A28" s="873" t="s">
        <v>1316</v>
      </c>
      <c r="B28" s="882" t="s">
        <v>1305</v>
      </c>
      <c r="C28" s="875"/>
      <c r="D28" s="875"/>
      <c r="E28" s="875"/>
      <c r="F28" s="875"/>
    </row>
    <row r="29" spans="1:6" x14ac:dyDescent="0.25">
      <c r="A29" s="873" t="s">
        <v>1317</v>
      </c>
      <c r="B29" s="882" t="s">
        <v>1307</v>
      </c>
      <c r="C29" s="875"/>
      <c r="D29" s="875"/>
      <c r="E29" s="875"/>
      <c r="F29" s="875"/>
    </row>
    <row r="30" spans="1:6" ht="30" x14ac:dyDescent="0.25">
      <c r="A30" s="873" t="s">
        <v>1318</v>
      </c>
      <c r="B30" s="882" t="s">
        <v>1309</v>
      </c>
      <c r="C30" s="875"/>
      <c r="D30" s="875"/>
      <c r="E30" s="875"/>
      <c r="F30" s="875"/>
    </row>
    <row r="31" spans="1:6" s="649" customFormat="1" x14ac:dyDescent="0.25">
      <c r="A31" s="879">
        <v>28</v>
      </c>
      <c r="B31" s="880" t="s">
        <v>1319</v>
      </c>
      <c r="C31" s="881">
        <f>C13+C22</f>
        <v>0</v>
      </c>
      <c r="D31" s="881">
        <f t="shared" ref="D31:F31" si="6">D13+D22</f>
        <v>0</v>
      </c>
      <c r="E31" s="881">
        <v>0</v>
      </c>
      <c r="F31" s="881">
        <f t="shared" si="6"/>
        <v>0</v>
      </c>
    </row>
    <row r="32" spans="1:6" s="649" customFormat="1" x14ac:dyDescent="0.25">
      <c r="A32" s="886">
        <v>29</v>
      </c>
      <c r="B32" s="887" t="s">
        <v>1320</v>
      </c>
      <c r="C32" s="888">
        <f>C12-C31</f>
        <v>2793239.5</v>
      </c>
      <c r="D32" s="888">
        <f t="shared" ref="D32:F32" si="7">D12-D31</f>
        <v>2643239.5</v>
      </c>
      <c r="E32" s="888">
        <f t="shared" si="7"/>
        <v>2218239.5</v>
      </c>
      <c r="F32" s="888">
        <f t="shared" si="7"/>
        <v>2218239.5</v>
      </c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&amp;R9. melléklet a .../2022. (II. .....) önkormányzati rendelethez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="118" zoomScaleNormal="100" zoomScaleSheetLayoutView="118" workbookViewId="0">
      <selection activeCell="E5" sqref="E5"/>
    </sheetView>
  </sheetViews>
  <sheetFormatPr defaultRowHeight="15" x14ac:dyDescent="0.25"/>
  <cols>
    <col min="1" max="1" width="26.85546875" customWidth="1"/>
    <col min="2" max="2" width="14.7109375" style="854" bestFit="1" customWidth="1"/>
    <col min="3" max="3" width="16.28515625" style="854" customWidth="1"/>
    <col min="4" max="4" width="14.7109375" style="854" bestFit="1" customWidth="1"/>
    <col min="5" max="5" width="15.7109375" style="854" customWidth="1"/>
    <col min="6" max="6" width="14.7109375" style="854" bestFit="1" customWidth="1"/>
    <col min="7" max="7" width="13.28515625" style="854" customWidth="1"/>
    <col min="8" max="8" width="15.7109375" style="854" bestFit="1" customWidth="1"/>
    <col min="9" max="9" width="17" style="855" bestFit="1" customWidth="1"/>
  </cols>
  <sheetData>
    <row r="1" spans="1:9" x14ac:dyDescent="0.25">
      <c r="A1" t="s">
        <v>1251</v>
      </c>
    </row>
    <row r="3" spans="1:9" x14ac:dyDescent="0.25">
      <c r="I3" s="856" t="s">
        <v>1252</v>
      </c>
    </row>
    <row r="4" spans="1:9" ht="21.4" customHeight="1" x14ac:dyDescent="0.25">
      <c r="A4" s="1196" t="s">
        <v>1253</v>
      </c>
      <c r="B4" s="1197" t="s">
        <v>2</v>
      </c>
      <c r="C4" s="1197"/>
      <c r="D4" s="1197"/>
      <c r="E4" s="1197" t="s">
        <v>3</v>
      </c>
      <c r="F4" s="1197"/>
      <c r="G4" s="1197"/>
      <c r="H4" s="1197"/>
      <c r="I4" s="1197"/>
    </row>
    <row r="5" spans="1:9" ht="30" x14ac:dyDescent="0.25">
      <c r="A5" s="1196"/>
      <c r="B5" s="857" t="s">
        <v>1254</v>
      </c>
      <c r="C5" s="857" t="s">
        <v>1255</v>
      </c>
      <c r="D5" s="858" t="s">
        <v>1256</v>
      </c>
      <c r="E5" s="857" t="s">
        <v>1257</v>
      </c>
      <c r="F5" s="857" t="s">
        <v>1258</v>
      </c>
      <c r="G5" s="857" t="s">
        <v>1259</v>
      </c>
      <c r="H5" s="857" t="s">
        <v>1260</v>
      </c>
      <c r="I5" s="857" t="s">
        <v>1261</v>
      </c>
    </row>
    <row r="6" spans="1:9" ht="31.9" hidden="1" customHeight="1" x14ac:dyDescent="0.25">
      <c r="A6" s="859" t="s">
        <v>1262</v>
      </c>
      <c r="B6" s="860"/>
      <c r="C6" s="860"/>
      <c r="D6" s="861"/>
      <c r="E6" s="860"/>
      <c r="F6" s="861"/>
      <c r="G6" s="860"/>
      <c r="H6" s="860"/>
      <c r="I6" s="862">
        <f>SUM(E6:G6)</f>
        <v>0</v>
      </c>
    </row>
    <row r="7" spans="1:9" ht="30.4" customHeight="1" x14ac:dyDescent="0.25">
      <c r="A7" s="859" t="s">
        <v>1263</v>
      </c>
      <c r="B7" s="860">
        <v>50000</v>
      </c>
      <c r="C7" s="860"/>
      <c r="D7" s="860"/>
      <c r="E7" s="860"/>
      <c r="F7" s="860"/>
      <c r="G7" s="860"/>
      <c r="H7" s="860"/>
      <c r="I7" s="862"/>
    </row>
    <row r="8" spans="1:9" x14ac:dyDescent="0.25">
      <c r="A8" s="859"/>
      <c r="B8" s="860"/>
      <c r="C8" s="860"/>
      <c r="D8" s="860"/>
      <c r="E8" s="860"/>
      <c r="F8" s="860"/>
      <c r="G8" s="860"/>
      <c r="H8" s="860"/>
      <c r="I8" s="862"/>
    </row>
    <row r="9" spans="1:9" s="866" customFormat="1" x14ac:dyDescent="0.25">
      <c r="A9" s="863" t="s">
        <v>62</v>
      </c>
      <c r="B9" s="864">
        <f>SUM(B6:B8)</f>
        <v>50000</v>
      </c>
      <c r="C9" s="864">
        <f t="shared" ref="C9:I9" si="0">SUM(C6:C8)</f>
        <v>0</v>
      </c>
      <c r="D9" s="864">
        <f t="shared" si="0"/>
        <v>0</v>
      </c>
      <c r="E9" s="864">
        <f t="shared" si="0"/>
        <v>0</v>
      </c>
      <c r="F9" s="864">
        <f t="shared" si="0"/>
        <v>0</v>
      </c>
      <c r="G9" s="864">
        <f t="shared" si="0"/>
        <v>0</v>
      </c>
      <c r="H9" s="864">
        <f t="shared" si="0"/>
        <v>0</v>
      </c>
      <c r="I9" s="865">
        <f t="shared" si="0"/>
        <v>0</v>
      </c>
    </row>
  </sheetData>
  <mergeCells count="3">
    <mergeCell ref="A4:A5"/>
    <mergeCell ref="B4:D4"/>
    <mergeCell ref="E4:I4"/>
  </mergeCells>
  <pageMargins left="0.70866141732283472" right="0.70866141732283472" top="1.1417322834645669" bottom="0.74803149606299213" header="0.31496062992125984" footer="0.31496062992125984"/>
  <pageSetup paperSize="9" scale="86" orientation="landscape" r:id="rId1"/>
  <headerFooter>
    <oddHeader>&amp;R10. melléklet a ...../2022. (II. .....) önkormányzati rendelethez</oddHead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view="pageBreakPreview" topLeftCell="A13" zoomScale="98" zoomScaleNormal="100" zoomScaleSheetLayoutView="98" workbookViewId="0">
      <selection activeCell="H37" sqref="H37"/>
    </sheetView>
  </sheetViews>
  <sheetFormatPr defaultColWidth="9.140625" defaultRowHeight="15" x14ac:dyDescent="0.25"/>
  <cols>
    <col min="1" max="1" width="5.7109375" style="808" customWidth="1"/>
    <col min="2" max="2" width="52.42578125" style="809" customWidth="1"/>
    <col min="3" max="3" width="15.140625" style="809" hidden="1" customWidth="1"/>
    <col min="4" max="4" width="12.7109375" style="809" hidden="1" customWidth="1"/>
    <col min="5" max="5" width="13.5703125" style="809" hidden="1" customWidth="1"/>
    <col min="6" max="6" width="14.85546875" style="809" hidden="1" customWidth="1"/>
    <col min="7" max="7" width="13.5703125" style="809" customWidth="1"/>
    <col min="8" max="8" width="12.7109375" style="809" customWidth="1"/>
    <col min="9" max="9" width="25.42578125" style="809" customWidth="1"/>
    <col min="10" max="10" width="9.140625" style="809"/>
    <col min="11" max="12" width="10.42578125" style="809" bestFit="1" customWidth="1"/>
    <col min="13" max="16384" width="9.140625" style="809"/>
  </cols>
  <sheetData>
    <row r="1" spans="1:12" x14ac:dyDescent="0.25">
      <c r="D1" s="810"/>
      <c r="F1" s="810"/>
      <c r="H1" s="810" t="s">
        <v>75</v>
      </c>
    </row>
    <row r="2" spans="1:12" s="814" customFormat="1" ht="45" x14ac:dyDescent="0.25">
      <c r="A2" s="811"/>
      <c r="B2" s="811" t="s">
        <v>24</v>
      </c>
      <c r="C2" s="812" t="s">
        <v>1154</v>
      </c>
      <c r="D2" s="812" t="s">
        <v>1155</v>
      </c>
      <c r="E2" s="813" t="s">
        <v>1156</v>
      </c>
      <c r="F2" s="813" t="s">
        <v>1157</v>
      </c>
      <c r="G2" s="813" t="s">
        <v>1158</v>
      </c>
      <c r="H2" s="813" t="s">
        <v>1159</v>
      </c>
      <c r="I2" s="830"/>
    </row>
    <row r="3" spans="1:12" x14ac:dyDescent="0.25">
      <c r="A3" s="815"/>
      <c r="B3" s="816"/>
      <c r="C3" s="817">
        <f>C14+C15</f>
        <v>95569500</v>
      </c>
      <c r="D3" s="817">
        <f>D42+D43</f>
        <v>81707000</v>
      </c>
      <c r="E3" s="817">
        <f>E14+E15</f>
        <v>72569039</v>
      </c>
      <c r="F3" s="817">
        <f>F42+F43</f>
        <v>57859380</v>
      </c>
      <c r="G3" s="817">
        <f>G14+G15</f>
        <v>174743.46299999999</v>
      </c>
      <c r="H3" s="817">
        <f>H42+H43</f>
        <v>174743.3463</v>
      </c>
      <c r="K3" s="818"/>
      <c r="L3" s="818"/>
    </row>
    <row r="4" spans="1:12" ht="39.75" customHeight="1" x14ac:dyDescent="0.25">
      <c r="A4" s="819" t="s">
        <v>1160</v>
      </c>
      <c r="B4" s="820" t="s">
        <v>1161</v>
      </c>
      <c r="C4" s="821"/>
      <c r="D4" s="821"/>
      <c r="E4" s="821"/>
      <c r="F4" s="821"/>
      <c r="G4" s="821"/>
      <c r="H4" s="821"/>
      <c r="K4" s="818"/>
    </row>
    <row r="5" spans="1:12" x14ac:dyDescent="0.25">
      <c r="A5" s="822" t="s">
        <v>1162</v>
      </c>
      <c r="B5" s="816" t="s">
        <v>1163</v>
      </c>
      <c r="C5" s="817">
        <f>C6</f>
        <v>67116500</v>
      </c>
      <c r="D5" s="817"/>
      <c r="E5" s="817">
        <f>E6</f>
        <v>58707289</v>
      </c>
      <c r="F5" s="817"/>
      <c r="G5" s="817">
        <f>G6</f>
        <v>0</v>
      </c>
      <c r="H5" s="817"/>
    </row>
    <row r="6" spans="1:12" x14ac:dyDescent="0.25">
      <c r="A6" s="822" t="s">
        <v>4</v>
      </c>
      <c r="B6" s="816" t="s">
        <v>10</v>
      </c>
      <c r="C6" s="823">
        <f>C7+C9+C10</f>
        <v>67116500</v>
      </c>
      <c r="D6" s="817"/>
      <c r="E6" s="823">
        <f>E7+E9+E10+E11</f>
        <v>58707289</v>
      </c>
      <c r="F6" s="817"/>
      <c r="G6" s="823">
        <f>G7+G9</f>
        <v>0</v>
      </c>
      <c r="H6" s="817"/>
    </row>
    <row r="7" spans="1:12" x14ac:dyDescent="0.25">
      <c r="A7" s="824"/>
      <c r="B7" s="825" t="s">
        <v>1164</v>
      </c>
      <c r="C7" s="826">
        <f>SUM(C8)</f>
        <v>28848000</v>
      </c>
      <c r="D7" s="826"/>
      <c r="E7" s="826">
        <f>SUM(E8)</f>
        <v>21635661</v>
      </c>
      <c r="F7" s="826"/>
      <c r="G7" s="826">
        <f>SUM(G8)</f>
        <v>0</v>
      </c>
      <c r="H7" s="826"/>
    </row>
    <row r="8" spans="1:12" x14ac:dyDescent="0.25">
      <c r="A8" s="824"/>
      <c r="B8" s="827"/>
      <c r="C8" s="826">
        <v>28848000</v>
      </c>
      <c r="D8" s="826"/>
      <c r="E8" s="826">
        <v>21635661</v>
      </c>
      <c r="F8" s="826"/>
      <c r="G8" s="826"/>
      <c r="H8" s="826"/>
    </row>
    <row r="9" spans="1:12" x14ac:dyDescent="0.25">
      <c r="A9" s="824"/>
      <c r="B9" s="828" t="s">
        <v>1165</v>
      </c>
      <c r="C9" s="826">
        <v>7788500</v>
      </c>
      <c r="D9" s="826"/>
      <c r="E9" s="826">
        <v>5841628</v>
      </c>
      <c r="F9" s="826"/>
      <c r="G9" s="826"/>
      <c r="H9" s="826"/>
    </row>
    <row r="10" spans="1:12" x14ac:dyDescent="0.25">
      <c r="A10" s="824"/>
      <c r="B10" s="828" t="s">
        <v>1166</v>
      </c>
      <c r="C10" s="826">
        <v>30480000</v>
      </c>
      <c r="D10" s="826"/>
      <c r="E10" s="826">
        <v>30480000</v>
      </c>
      <c r="F10" s="826"/>
      <c r="G10" s="826"/>
      <c r="H10" s="826"/>
    </row>
    <row r="11" spans="1:12" x14ac:dyDescent="0.25">
      <c r="A11" s="824"/>
      <c r="B11" s="828"/>
      <c r="C11" s="826"/>
      <c r="D11" s="826"/>
      <c r="E11" s="826">
        <v>750000</v>
      </c>
      <c r="F11" s="826"/>
      <c r="G11" s="826"/>
      <c r="H11" s="826"/>
    </row>
    <row r="12" spans="1:12" x14ac:dyDescent="0.25">
      <c r="A12" s="822" t="s">
        <v>1167</v>
      </c>
      <c r="B12" s="816" t="s">
        <v>1168</v>
      </c>
      <c r="C12" s="817">
        <v>0</v>
      </c>
      <c r="D12" s="817"/>
      <c r="E12" s="817">
        <v>0</v>
      </c>
      <c r="F12" s="817"/>
      <c r="G12" s="817">
        <f>+G13</f>
        <v>0</v>
      </c>
      <c r="H12" s="817"/>
    </row>
    <row r="13" spans="1:12" x14ac:dyDescent="0.25">
      <c r="A13" s="822"/>
      <c r="B13" s="825" t="s">
        <v>1169</v>
      </c>
      <c r="C13" s="817"/>
      <c r="D13" s="817"/>
      <c r="E13" s="817"/>
      <c r="F13" s="817"/>
      <c r="G13" s="826"/>
      <c r="H13" s="817"/>
    </row>
    <row r="14" spans="1:12" x14ac:dyDescent="0.25">
      <c r="A14" s="822"/>
      <c r="B14" s="816" t="s">
        <v>1170</v>
      </c>
      <c r="C14" s="817">
        <f>C5+C12</f>
        <v>67116500</v>
      </c>
      <c r="D14" s="817"/>
      <c r="E14" s="817">
        <f>E5+E12</f>
        <v>58707289</v>
      </c>
      <c r="F14" s="817"/>
      <c r="G14" s="817">
        <f>G5+G12</f>
        <v>0</v>
      </c>
      <c r="H14" s="817"/>
    </row>
    <row r="15" spans="1:12" x14ac:dyDescent="0.25">
      <c r="A15" s="822" t="s">
        <v>1171</v>
      </c>
      <c r="B15" s="816" t="s">
        <v>1172</v>
      </c>
      <c r="C15" s="817">
        <f>C16</f>
        <v>28453000</v>
      </c>
      <c r="D15" s="817"/>
      <c r="E15" s="817">
        <f>E16</f>
        <v>13861750</v>
      </c>
      <c r="F15" s="817"/>
      <c r="G15" s="817">
        <f>G16</f>
        <v>174743.46299999999</v>
      </c>
      <c r="H15" s="817"/>
    </row>
    <row r="16" spans="1:12" x14ac:dyDescent="0.25">
      <c r="A16" s="822" t="s">
        <v>4</v>
      </c>
      <c r="B16" s="816" t="s">
        <v>1173</v>
      </c>
      <c r="C16" s="817">
        <f>C17</f>
        <v>28453000</v>
      </c>
      <c r="D16" s="817"/>
      <c r="E16" s="817">
        <f>E17</f>
        <v>13861750</v>
      </c>
      <c r="F16" s="817"/>
      <c r="G16" s="817">
        <f>G17</f>
        <v>174743.46299999999</v>
      </c>
      <c r="H16" s="817"/>
    </row>
    <row r="17" spans="1:8" x14ac:dyDescent="0.25">
      <c r="A17" s="824"/>
      <c r="B17" s="825" t="s">
        <v>1174</v>
      </c>
      <c r="C17" s="826">
        <v>28453000</v>
      </c>
      <c r="D17" s="826"/>
      <c r="E17" s="826">
        <v>13861750</v>
      </c>
      <c r="F17" s="826"/>
      <c r="G17" s="826">
        <v>174743.46299999999</v>
      </c>
      <c r="H17" s="826"/>
    </row>
    <row r="18" spans="1:8" ht="42" customHeight="1" x14ac:dyDescent="0.25">
      <c r="A18" s="819" t="s">
        <v>1175</v>
      </c>
      <c r="B18" s="820" t="s">
        <v>1176</v>
      </c>
      <c r="C18" s="821"/>
      <c r="D18" s="821"/>
      <c r="E18" s="821"/>
      <c r="F18" s="821"/>
      <c r="G18" s="821"/>
      <c r="H18" s="821"/>
    </row>
    <row r="19" spans="1:8" x14ac:dyDescent="0.25">
      <c r="A19" s="822" t="s">
        <v>1177</v>
      </c>
      <c r="B19" s="816" t="s">
        <v>1178</v>
      </c>
      <c r="C19" s="817"/>
      <c r="D19" s="817">
        <f>D20+D22+D24</f>
        <v>27000</v>
      </c>
      <c r="E19" s="817"/>
      <c r="F19" s="817">
        <f>F20+F22+F24</f>
        <v>2367085</v>
      </c>
      <c r="G19" s="817"/>
      <c r="H19" s="817">
        <f>H20+H22+H24</f>
        <v>96249</v>
      </c>
    </row>
    <row r="20" spans="1:8" x14ac:dyDescent="0.25">
      <c r="A20" s="822" t="s">
        <v>4</v>
      </c>
      <c r="B20" s="816" t="s">
        <v>1179</v>
      </c>
      <c r="C20" s="817"/>
      <c r="D20" s="817">
        <f>D21</f>
        <v>0</v>
      </c>
      <c r="E20" s="817"/>
      <c r="F20" s="817">
        <f>F21</f>
        <v>0</v>
      </c>
      <c r="G20" s="817"/>
      <c r="H20" s="817">
        <f>H21</f>
        <v>19549</v>
      </c>
    </row>
    <row r="21" spans="1:8" x14ac:dyDescent="0.25">
      <c r="A21" s="824"/>
      <c r="B21" s="825" t="s">
        <v>1180</v>
      </c>
      <c r="C21" s="826"/>
      <c r="D21" s="826">
        <v>0</v>
      </c>
      <c r="E21" s="826"/>
      <c r="F21" s="826">
        <v>0</v>
      </c>
      <c r="G21" s="826"/>
      <c r="H21" s="826">
        <f>174743-155194</f>
        <v>19549</v>
      </c>
    </row>
    <row r="22" spans="1:8" x14ac:dyDescent="0.25">
      <c r="A22" s="822" t="s">
        <v>7</v>
      </c>
      <c r="B22" s="816" t="s">
        <v>11</v>
      </c>
      <c r="C22" s="817"/>
      <c r="D22" s="817"/>
      <c r="E22" s="817"/>
      <c r="F22" s="817">
        <f>+F23</f>
        <v>2336800</v>
      </c>
      <c r="G22" s="817"/>
      <c r="H22" s="817">
        <v>40200</v>
      </c>
    </row>
    <row r="23" spans="1:8" x14ac:dyDescent="0.25">
      <c r="A23" s="822"/>
      <c r="B23" s="829"/>
      <c r="C23" s="817"/>
      <c r="D23" s="817"/>
      <c r="E23" s="817"/>
      <c r="F23" s="817">
        <v>2336800</v>
      </c>
      <c r="G23" s="817"/>
      <c r="H23" s="817"/>
    </row>
    <row r="24" spans="1:8" x14ac:dyDescent="0.25">
      <c r="A24" s="822" t="s">
        <v>9</v>
      </c>
      <c r="B24" s="816" t="s">
        <v>1181</v>
      </c>
      <c r="C24" s="817"/>
      <c r="D24" s="817">
        <v>27000</v>
      </c>
      <c r="E24" s="817"/>
      <c r="F24" s="817">
        <v>30285</v>
      </c>
      <c r="G24" s="817"/>
      <c r="H24" s="817">
        <v>36500</v>
      </c>
    </row>
    <row r="25" spans="1:8" x14ac:dyDescent="0.25">
      <c r="A25" s="822" t="s">
        <v>1182</v>
      </c>
      <c r="B25" s="816" t="s">
        <v>1183</v>
      </c>
      <c r="C25" s="817"/>
      <c r="D25" s="817">
        <f>D26+D33+D36</f>
        <v>81680000</v>
      </c>
      <c r="E25" s="817"/>
      <c r="F25" s="817">
        <f>F26+F33+F36</f>
        <v>55492295</v>
      </c>
      <c r="G25" s="817"/>
      <c r="H25" s="817">
        <f>H26+H33+H36</f>
        <v>78494.346300000005</v>
      </c>
    </row>
    <row r="26" spans="1:8" x14ac:dyDescent="0.25">
      <c r="A26" s="822" t="s">
        <v>4</v>
      </c>
      <c r="B26" s="816" t="s">
        <v>18</v>
      </c>
      <c r="C26" s="817"/>
      <c r="D26" s="817">
        <f>D27+D28+D29+D30+D31+D32</f>
        <v>0</v>
      </c>
      <c r="E26" s="817"/>
      <c r="F26" s="817">
        <f>F27+F28+F29+F30+F31+F32</f>
        <v>0</v>
      </c>
      <c r="G26" s="817"/>
      <c r="H26" s="817">
        <f>H27+H28+H29+H30+H31+H32</f>
        <v>22020</v>
      </c>
    </row>
    <row r="27" spans="1:8" x14ac:dyDescent="0.25">
      <c r="A27" s="824"/>
      <c r="B27" s="825"/>
      <c r="C27" s="826"/>
      <c r="D27" s="826"/>
      <c r="E27" s="826"/>
      <c r="F27" s="826"/>
      <c r="G27" s="826"/>
      <c r="H27" s="826">
        <v>22020</v>
      </c>
    </row>
    <row r="28" spans="1:8" hidden="1" x14ac:dyDescent="0.25">
      <c r="A28" s="824"/>
      <c r="B28" s="825"/>
      <c r="C28" s="826"/>
      <c r="D28" s="826">
        <v>0</v>
      </c>
      <c r="E28" s="826"/>
      <c r="F28" s="826">
        <v>0</v>
      </c>
      <c r="G28" s="826"/>
      <c r="H28" s="826">
        <v>0</v>
      </c>
    </row>
    <row r="29" spans="1:8" hidden="1" x14ac:dyDescent="0.25">
      <c r="A29" s="824"/>
      <c r="B29" s="825"/>
      <c r="C29" s="826"/>
      <c r="D29" s="826"/>
      <c r="E29" s="826"/>
      <c r="F29" s="826"/>
      <c r="G29" s="826"/>
      <c r="H29" s="826"/>
    </row>
    <row r="30" spans="1:8" hidden="1" x14ac:dyDescent="0.25">
      <c r="A30" s="824"/>
      <c r="B30" s="825"/>
      <c r="C30" s="826"/>
      <c r="D30" s="826"/>
      <c r="E30" s="826"/>
      <c r="F30" s="826"/>
      <c r="G30" s="826"/>
      <c r="H30" s="826"/>
    </row>
    <row r="31" spans="1:8" hidden="1" x14ac:dyDescent="0.25">
      <c r="A31" s="824"/>
      <c r="B31" s="825"/>
      <c r="C31" s="826"/>
      <c r="D31" s="826"/>
      <c r="E31" s="826"/>
      <c r="F31" s="826"/>
      <c r="G31" s="826"/>
      <c r="H31" s="826"/>
    </row>
    <row r="32" spans="1:8" hidden="1" x14ac:dyDescent="0.25">
      <c r="A32" s="824"/>
      <c r="B32" s="825"/>
      <c r="C32" s="826"/>
      <c r="D32" s="826"/>
      <c r="E32" s="826"/>
      <c r="F32" s="826"/>
      <c r="G32" s="826"/>
      <c r="H32" s="826"/>
    </row>
    <row r="33" spans="1:8" x14ac:dyDescent="0.25">
      <c r="A33" s="822" t="s">
        <v>7</v>
      </c>
      <c r="B33" s="816" t="s">
        <v>20</v>
      </c>
      <c r="C33" s="817"/>
      <c r="D33" s="817">
        <f>SUM(D34:D35)</f>
        <v>81680000</v>
      </c>
      <c r="E33" s="817"/>
      <c r="F33" s="817">
        <f>SUM(F34:F35)</f>
        <v>55492295</v>
      </c>
      <c r="G33" s="817"/>
      <c r="H33" s="817">
        <f>SUM(H34:H35)</f>
        <v>19000</v>
      </c>
    </row>
    <row r="34" spans="1:8" x14ac:dyDescent="0.25">
      <c r="A34" s="824"/>
      <c r="B34" s="825"/>
      <c r="C34" s="826"/>
      <c r="D34" s="826">
        <v>0</v>
      </c>
      <c r="E34" s="826"/>
      <c r="F34" s="826">
        <v>750000</v>
      </c>
      <c r="G34" s="826"/>
      <c r="H34" s="826">
        <v>19000</v>
      </c>
    </row>
    <row r="35" spans="1:8" x14ac:dyDescent="0.25">
      <c r="A35" s="824"/>
      <c r="B35" s="825"/>
      <c r="C35" s="826"/>
      <c r="D35" s="826">
        <v>81680000</v>
      </c>
      <c r="E35" s="826"/>
      <c r="F35" s="826">
        <v>54742295</v>
      </c>
      <c r="G35" s="826"/>
      <c r="H35" s="826"/>
    </row>
    <row r="36" spans="1:8" x14ac:dyDescent="0.25">
      <c r="A36" s="822" t="s">
        <v>9</v>
      </c>
      <c r="B36" s="816" t="s">
        <v>1184</v>
      </c>
      <c r="C36" s="817"/>
      <c r="D36" s="817">
        <f>D40</f>
        <v>0</v>
      </c>
      <c r="E36" s="817"/>
      <c r="F36" s="817">
        <f>F40</f>
        <v>0</v>
      </c>
      <c r="G36" s="817"/>
      <c r="H36" s="817">
        <f>SUM(H37:H40)</f>
        <v>37474.346300000005</v>
      </c>
    </row>
    <row r="37" spans="1:8" x14ac:dyDescent="0.25">
      <c r="A37" s="822"/>
      <c r="B37" s="825" t="s">
        <v>1243</v>
      </c>
      <c r="C37" s="817"/>
      <c r="D37" s="817"/>
      <c r="E37" s="817"/>
      <c r="F37" s="817"/>
      <c r="G37" s="817"/>
      <c r="H37" s="826">
        <f>13225-3225</f>
        <v>10000</v>
      </c>
    </row>
    <row r="38" spans="1:8" x14ac:dyDescent="0.25">
      <c r="A38" s="822"/>
      <c r="B38" s="825" t="s">
        <v>1244</v>
      </c>
      <c r="C38" s="817"/>
      <c r="D38" s="817"/>
      <c r="E38" s="817"/>
      <c r="F38" s="817"/>
      <c r="G38" s="817"/>
      <c r="H38" s="826">
        <v>10000</v>
      </c>
    </row>
    <row r="39" spans="1:8" x14ac:dyDescent="0.25">
      <c r="A39" s="822"/>
      <c r="B39" s="825" t="s">
        <v>1250</v>
      </c>
      <c r="C39" s="817"/>
      <c r="D39" s="817"/>
      <c r="E39" s="817"/>
      <c r="F39" s="817"/>
      <c r="G39" s="817"/>
      <c r="H39" s="826">
        <f>+G17*0.1</f>
        <v>17474.346300000001</v>
      </c>
    </row>
    <row r="40" spans="1:8" x14ac:dyDescent="0.25">
      <c r="A40" s="824"/>
      <c r="B40" s="825"/>
      <c r="C40" s="826"/>
      <c r="D40" s="826">
        <v>0</v>
      </c>
      <c r="E40" s="826"/>
      <c r="F40" s="826"/>
      <c r="G40" s="826"/>
      <c r="H40" s="826"/>
    </row>
    <row r="41" spans="1:8" x14ac:dyDescent="0.25">
      <c r="A41" s="824"/>
      <c r="B41" s="825"/>
      <c r="C41" s="826"/>
      <c r="D41" s="826"/>
      <c r="E41" s="826"/>
      <c r="F41" s="826"/>
      <c r="G41" s="826"/>
      <c r="H41" s="826"/>
    </row>
    <row r="42" spans="1:8" x14ac:dyDescent="0.25">
      <c r="A42" s="822"/>
      <c r="B42" s="816" t="s">
        <v>1185</v>
      </c>
      <c r="C42" s="817"/>
      <c r="D42" s="817">
        <f>D19+D25</f>
        <v>81707000</v>
      </c>
      <c r="E42" s="817"/>
      <c r="F42" s="817">
        <f>F19+F25</f>
        <v>57859380</v>
      </c>
      <c r="G42" s="817"/>
      <c r="H42" s="817">
        <f>H19+H25</f>
        <v>174743.3463</v>
      </c>
    </row>
    <row r="43" spans="1:8" x14ac:dyDescent="0.25">
      <c r="A43" s="822" t="s">
        <v>1186</v>
      </c>
      <c r="B43" s="816" t="s">
        <v>1187</v>
      </c>
      <c r="C43" s="817"/>
      <c r="D43" s="817">
        <v>0</v>
      </c>
      <c r="E43" s="817"/>
      <c r="F43" s="817">
        <v>0</v>
      </c>
      <c r="G43" s="817"/>
      <c r="H43" s="817">
        <v>0</v>
      </c>
    </row>
  </sheetData>
  <pageMargins left="0.70866141732283472" right="0.70866141732283472" top="1.2204724409448819" bottom="0.74803149606299213" header="0.41" footer="0.31496062992125984"/>
  <pageSetup paperSize="9" orientation="portrait" r:id="rId1"/>
  <headerFooter>
    <oddHeader>&amp;C&amp;"-,Félkövér"&amp;14
Környezetvédelmi Alap 2022. évi költségvetése&amp;R11. melléklet a  .../2022. (II. .....)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17</vt:i4>
      </vt:variant>
    </vt:vector>
  </HeadingPairs>
  <TitlesOfParts>
    <vt:vector size="34" baseType="lpstr">
      <vt:lpstr>Támogatások részletezve</vt:lpstr>
      <vt:lpstr>1. mérleg 2020-2022</vt:lpstr>
      <vt:lpstr>1. mell.-mérleg</vt:lpstr>
      <vt:lpstr>2. bevételek</vt:lpstr>
      <vt:lpstr>3. kiadások</vt:lpstr>
      <vt:lpstr>Munka2</vt:lpstr>
      <vt:lpstr>4. közvet tám</vt:lpstr>
      <vt:lpstr>5. ei felhaszn ütem</vt:lpstr>
      <vt:lpstr>6. többéves kihatásu kötelezett</vt:lpstr>
      <vt:lpstr>4. melléklet</vt:lpstr>
      <vt:lpstr>5. melléklet</vt:lpstr>
      <vt:lpstr>5 melléklet</vt:lpstr>
      <vt:lpstr>7. melléklet</vt:lpstr>
      <vt:lpstr>8. melléklet (Lakás tv)</vt:lpstr>
      <vt:lpstr>9. melléklet </vt:lpstr>
      <vt:lpstr>10. melléklet (Uniós tám)</vt:lpstr>
      <vt:lpstr>11. melléklet (KVA)</vt:lpstr>
      <vt:lpstr>'1. mell.-mérleg'!Nyomtatási_cím</vt:lpstr>
      <vt:lpstr>'1. mérleg 2020-2022'!Nyomtatási_cím</vt:lpstr>
      <vt:lpstr>'2. bevételek'!Nyomtatási_cím</vt:lpstr>
      <vt:lpstr>'3. kiadások'!Nyomtatási_cím</vt:lpstr>
      <vt:lpstr>'4. melléklet'!Nyomtatási_cím</vt:lpstr>
      <vt:lpstr>'5 melléklet'!Nyomtatási_cím</vt:lpstr>
      <vt:lpstr>'6. többéves kihatásu kötelezett'!Nyomtatási_cím</vt:lpstr>
      <vt:lpstr>'1. mell.-mérleg'!Nyomtatási_terület</vt:lpstr>
      <vt:lpstr>'1. mérleg 2020-2022'!Nyomtatási_terület</vt:lpstr>
      <vt:lpstr>'11. melléklet (KVA)'!Nyomtatási_terület</vt:lpstr>
      <vt:lpstr>'2. bevételek'!Nyomtatási_terület</vt:lpstr>
      <vt:lpstr>'3. kiadások'!Nyomtatási_terület</vt:lpstr>
      <vt:lpstr>'4. melléklet'!Nyomtatási_terület</vt:lpstr>
      <vt:lpstr>'5 melléklet'!Nyomtatási_terület</vt:lpstr>
      <vt:lpstr>'5. ei felhaszn ütem'!Nyomtatási_terület</vt:lpstr>
      <vt:lpstr>'6. többéves kihatásu kötelezett'!Nyomtatási_terület</vt:lpstr>
      <vt:lpstr>'9. melléklet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Lipták Noémi</cp:lastModifiedBy>
  <cp:lastPrinted>2022-04-28T12:45:54Z</cp:lastPrinted>
  <dcterms:created xsi:type="dcterms:W3CDTF">2020-02-08T07:43:38Z</dcterms:created>
  <dcterms:modified xsi:type="dcterms:W3CDTF">2022-05-05T08:27:44Z</dcterms:modified>
</cp:coreProperties>
</file>