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JEGYZO\Kozos\KÉPVISELŐ-TESTÜLET\2022. 05. 26. KÉPVISELŐ-TESTÜLET\jóváhagyás alatt\Zárszámadás\"/>
    </mc:Choice>
  </mc:AlternateContent>
  <bookViews>
    <workbookView xWindow="0" yWindow="0" windowWidth="23040" windowHeight="9195" activeTab="3"/>
  </bookViews>
  <sheets>
    <sheet name="1_Mérleg" sheetId="2" r:id="rId1"/>
    <sheet name="2_Ererdménykimutatás" sheetId="5" r:id="rId2"/>
    <sheet name="3_pénzkészlet változás " sheetId="6" r:id="rId3"/>
    <sheet name="4_Penzfelhaszn" sheetId="1" r:id="rId4"/>
  </sheets>
  <externalReferences>
    <externalReference r:id="rId5"/>
  </externalReferences>
  <definedNames>
    <definedName name="_1999._Évi_felhalmozási_és_felújítási_kiadások">"$#HIV!.$A$29:$E$29"</definedName>
    <definedName name="_4._sz._sor_részletezése" localSheetId="2">#REF!</definedName>
    <definedName name="_4._sz._sor_részletezése" localSheetId="3">#REF!</definedName>
    <definedName name="_4._sz._sor_részletezése">#REF!</definedName>
    <definedName name="B" localSheetId="2">#REF!</definedName>
    <definedName name="B" localSheetId="3">#REF!</definedName>
    <definedName name="B">#REF!</definedName>
    <definedName name="Excel_BuiltIn_Print_Area_1">"$#HIV!.$A$2:$C$155"</definedName>
    <definedName name="Excel_BuiltIn_Print_Area_10">"$#HIV!.$B$1:$G$95"</definedName>
    <definedName name="Excel_BuiltIn_Print_Area_11">"$#HIV!.$B$2:$H$40"</definedName>
    <definedName name="Excel_BuiltIn_Print_Area_12">"$#HIV!.$B$1:$E$25"</definedName>
    <definedName name="Excel_BuiltIn_Print_Area_13">"$#HIV!.$A$7:$E$53"</definedName>
    <definedName name="Excel_BuiltIn_Print_Area_14">"$#HIV!.$A$1:$M$59"</definedName>
    <definedName name="Excel_BuiltIn_Print_Area_15">"$#HIV!.$E$1:$F$98"</definedName>
    <definedName name="Excel_BuiltIn_Print_Area_16">"$#HIV!.$A$1:$D$139"</definedName>
    <definedName name="Excel_BuiltIn_Print_Area_2">"$#HIV!.$D$2:$H$55"</definedName>
    <definedName name="Excel_BuiltIn_Print_Area_3">"$#HIV!.$A$1:$F$131"</definedName>
    <definedName name="Excel_BuiltIn_Print_Area_4">"$#HIV!.$A$1:$F$115"</definedName>
    <definedName name="Excel_BuiltIn_Print_Area_5">"$#HIV!.$A$2:$B$22"</definedName>
    <definedName name="Excel_BuiltIn_Print_Area_6">"$#HIV!.$A$2:$C$143"</definedName>
    <definedName name="Excel_BuiltIn_Print_Area_7">"$#HIV!.$A$2:$C$143"</definedName>
    <definedName name="Excel_BuiltIn_Print_Area_8">"$#HIV!.$A$1:$I$144"</definedName>
    <definedName name="Excel_BuiltIn_Print_Area_9">"$#HIV!.$A$1:$H$98"</definedName>
    <definedName name="Excel_BuiltIn_Print_Titles_1">"$#HIV!.$A$2:$IQ$2"</definedName>
    <definedName name="Excel_BuiltIn_Print_Titles_10">"$#HIV!.$A$1:$IT$2"</definedName>
    <definedName name="Excel_BuiltIn_Print_Titles_14">"$#HIV!.$A$61:$IU$61"</definedName>
    <definedName name="Excel_BuiltIn_Print_Titles_19">"$#HIV!.$A$1:$IV$1"</definedName>
    <definedName name="Excel_BuiltIn_Print_Titles_2">"$Összesítő.$#HIV!$1:$#HIV!$31999"</definedName>
    <definedName name="Excel_BuiltIn_Print_Titles_21">"$#HIV!.$A$1:$IV$2"</definedName>
    <definedName name="Excel_BuiltIn_Print_Titles_4">"$#HIV!.$A$2:$IV$4"</definedName>
    <definedName name="Excel_BuiltIn_Print_Titles_6">"$#HIV!.$A$2:$II$3"</definedName>
    <definedName name="Excel_BuiltIn_Print_Titles_7">"$#HIV!.$A$2:$IR$3"</definedName>
    <definedName name="Excel_BuiltIn_Print_Titles_8">"$#HIV!.$A$2:$IS$3"</definedName>
    <definedName name="Excel_BuiltIn_Print_Titles_9">"$#HIV!.$A$1:$IT$2"</definedName>
    <definedName name="_xlnm.Print_Titles" localSheetId="0">'1_Mérleg'!$A:$A</definedName>
    <definedName name="_xlnm.Print_Area" localSheetId="2">'3_pénzkészlet változás '!$A$1:$L$28</definedName>
    <definedName name="_xlnm.Print_Area" localSheetId="3">'4_Penzfelhaszn'!$A$1:$L$27</definedName>
    <definedName name="Print_Titles_1">[1]Bóbita!$A:$B,[1]Bóbita!$1:$1</definedName>
  </definedNames>
  <calcPr calcId="162913"/>
</workbook>
</file>

<file path=xl/calcChain.xml><?xml version="1.0" encoding="utf-8"?>
<calcChain xmlns="http://schemas.openxmlformats.org/spreadsheetml/2006/main">
  <c r="K8" i="5" l="1"/>
  <c r="I11" i="5"/>
  <c r="F9" i="5"/>
  <c r="B3" i="5"/>
  <c r="E28" i="2"/>
  <c r="E18" i="2"/>
  <c r="R27" i="2"/>
  <c r="S20" i="2"/>
  <c r="S7" i="2"/>
  <c r="N17" i="2"/>
  <c r="I16" i="2"/>
  <c r="H22" i="2"/>
  <c r="G26" i="2"/>
  <c r="F22" i="2"/>
  <c r="D31" i="2"/>
  <c r="C18" i="2"/>
  <c r="C12" i="2"/>
  <c r="C5" i="6"/>
  <c r="C2" i="6"/>
  <c r="E2" i="6"/>
  <c r="E22" i="6" s="1"/>
  <c r="F2" i="6"/>
  <c r="F22" i="6" s="1"/>
  <c r="D2" i="6"/>
  <c r="D22" i="6" s="1"/>
  <c r="G2" i="6"/>
  <c r="G22" i="6" s="1"/>
  <c r="H2" i="6"/>
  <c r="H22" i="6" s="1"/>
  <c r="I2" i="6"/>
  <c r="I22" i="6" s="1"/>
  <c r="J2" i="6"/>
  <c r="J22" i="6" s="1"/>
  <c r="K2" i="6"/>
  <c r="K22" i="6" s="1"/>
  <c r="C22" i="6" l="1"/>
  <c r="U13" i="2"/>
  <c r="T13" i="2"/>
  <c r="U12" i="2"/>
  <c r="T12" i="2"/>
  <c r="U11" i="2"/>
  <c r="T11" i="2"/>
  <c r="U9" i="2"/>
  <c r="T9" i="2"/>
  <c r="U8" i="2"/>
  <c r="T8" i="2"/>
  <c r="U6" i="2"/>
  <c r="T6" i="2"/>
  <c r="U5" i="2"/>
  <c r="T5" i="2"/>
  <c r="U4" i="2"/>
  <c r="T4" i="2"/>
  <c r="U3" i="2"/>
  <c r="T3" i="2"/>
  <c r="U18" i="2"/>
  <c r="T18" i="2"/>
  <c r="U17" i="2"/>
  <c r="T17" i="2"/>
  <c r="U16" i="2"/>
  <c r="T16" i="2"/>
  <c r="U22" i="2"/>
  <c r="T22" i="2"/>
  <c r="U21" i="2"/>
  <c r="T21" i="2"/>
  <c r="U20" i="2"/>
  <c r="T20" i="2"/>
  <c r="U29" i="2"/>
  <c r="T29" i="2"/>
  <c r="U28" i="2"/>
  <c r="T28" i="2"/>
  <c r="U27" i="2"/>
  <c r="T27" i="2"/>
  <c r="U31" i="2"/>
  <c r="T31" i="2"/>
  <c r="U26" i="2"/>
  <c r="T26" i="2"/>
  <c r="U24" i="2"/>
  <c r="T24" i="2"/>
  <c r="L28" i="6" l="1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L4" i="6"/>
  <c r="L3" i="6"/>
  <c r="L2" i="6"/>
  <c r="B30" i="2" l="1"/>
  <c r="B23" i="2"/>
  <c r="B19" i="2"/>
  <c r="B15" i="2"/>
  <c r="B10" i="2"/>
  <c r="B7" i="2"/>
  <c r="F30" i="2"/>
  <c r="F32" i="2" s="1"/>
  <c r="F23" i="2"/>
  <c r="F19" i="2"/>
  <c r="F15" i="2"/>
  <c r="F10" i="2"/>
  <c r="F7" i="2"/>
  <c r="R30" i="2"/>
  <c r="R32" i="2" s="1"/>
  <c r="R23" i="2"/>
  <c r="R19" i="2"/>
  <c r="R15" i="2"/>
  <c r="R10" i="2"/>
  <c r="R7" i="2"/>
  <c r="P30" i="2"/>
  <c r="P32" i="2" s="1"/>
  <c r="P23" i="2"/>
  <c r="P19" i="2"/>
  <c r="P15" i="2"/>
  <c r="P10" i="2"/>
  <c r="P7" i="2"/>
  <c r="N30" i="2"/>
  <c r="N32" i="2" s="1"/>
  <c r="N23" i="2"/>
  <c r="N19" i="2"/>
  <c r="N15" i="2"/>
  <c r="N10" i="2"/>
  <c r="N7" i="2"/>
  <c r="J30" i="2"/>
  <c r="J32" i="2" s="1"/>
  <c r="J23" i="2"/>
  <c r="J19" i="2"/>
  <c r="J15" i="2"/>
  <c r="J10" i="2"/>
  <c r="J7" i="2"/>
  <c r="L30" i="2"/>
  <c r="L32" i="2" s="1"/>
  <c r="L23" i="2"/>
  <c r="L19" i="2"/>
  <c r="L15" i="2"/>
  <c r="L10" i="2"/>
  <c r="L7" i="2"/>
  <c r="H30" i="2"/>
  <c r="H32" i="2" s="1"/>
  <c r="H23" i="2"/>
  <c r="H19" i="2"/>
  <c r="H15" i="2"/>
  <c r="H10" i="2"/>
  <c r="H7" i="2"/>
  <c r="D30" i="2"/>
  <c r="D32" i="2" s="1"/>
  <c r="D23" i="2"/>
  <c r="D19" i="2"/>
  <c r="D15" i="2"/>
  <c r="D7" i="2"/>
  <c r="C7" i="2"/>
  <c r="E7" i="2"/>
  <c r="G7" i="2"/>
  <c r="I7" i="2"/>
  <c r="K7" i="2"/>
  <c r="M7" i="2"/>
  <c r="O7" i="2"/>
  <c r="Q7" i="2"/>
  <c r="C10" i="2"/>
  <c r="E10" i="2"/>
  <c r="G10" i="2"/>
  <c r="I10" i="2"/>
  <c r="K10" i="2"/>
  <c r="M10" i="2"/>
  <c r="O10" i="2"/>
  <c r="Q10" i="2"/>
  <c r="S10" i="2"/>
  <c r="U14" i="2"/>
  <c r="C15" i="2"/>
  <c r="E15" i="2"/>
  <c r="G15" i="2"/>
  <c r="I15" i="2"/>
  <c r="K15" i="2"/>
  <c r="M15" i="2"/>
  <c r="O15" i="2"/>
  <c r="Q15" i="2"/>
  <c r="S15" i="2"/>
  <c r="C19" i="2"/>
  <c r="E19" i="2"/>
  <c r="G19" i="2"/>
  <c r="I19" i="2"/>
  <c r="K19" i="2"/>
  <c r="M19" i="2"/>
  <c r="O19" i="2"/>
  <c r="Q19" i="2"/>
  <c r="S19" i="2"/>
  <c r="C23" i="2"/>
  <c r="E23" i="2"/>
  <c r="G23" i="2"/>
  <c r="I23" i="2"/>
  <c r="K23" i="2"/>
  <c r="M23" i="2"/>
  <c r="O23" i="2"/>
  <c r="Q23" i="2"/>
  <c r="S23" i="2"/>
  <c r="C30" i="2"/>
  <c r="E30" i="2"/>
  <c r="E32" i="2" s="1"/>
  <c r="G30" i="2"/>
  <c r="G32" i="2" s="1"/>
  <c r="I30" i="2"/>
  <c r="I32" i="2" s="1"/>
  <c r="K30" i="2"/>
  <c r="K32" i="2" s="1"/>
  <c r="M30" i="2"/>
  <c r="M32" i="2" s="1"/>
  <c r="O30" i="2"/>
  <c r="O32" i="2" s="1"/>
  <c r="Q30" i="2"/>
  <c r="Q32" i="2" s="1"/>
  <c r="S30" i="2"/>
  <c r="S32" i="2"/>
  <c r="U12" i="5"/>
  <c r="T12" i="5"/>
  <c r="U11" i="5"/>
  <c r="T11" i="5"/>
  <c r="U9" i="5"/>
  <c r="T9" i="5"/>
  <c r="U8" i="5"/>
  <c r="T8" i="5"/>
  <c r="U7" i="5"/>
  <c r="T7" i="5"/>
  <c r="U6" i="5"/>
  <c r="T6" i="5"/>
  <c r="U5" i="5"/>
  <c r="T5" i="5"/>
  <c r="U4" i="5"/>
  <c r="T4" i="5"/>
  <c r="U3" i="5"/>
  <c r="T3" i="5"/>
  <c r="D13" i="5"/>
  <c r="D10" i="5"/>
  <c r="H13" i="5"/>
  <c r="H10" i="5"/>
  <c r="L13" i="5"/>
  <c r="L10" i="5"/>
  <c r="J13" i="5"/>
  <c r="J10" i="5"/>
  <c r="N13" i="5"/>
  <c r="N10" i="5"/>
  <c r="N14" i="5" s="1"/>
  <c r="N18" i="5" s="1"/>
  <c r="P13" i="5"/>
  <c r="P10" i="5"/>
  <c r="R13" i="5"/>
  <c r="R10" i="5"/>
  <c r="F13" i="5"/>
  <c r="F10" i="5"/>
  <c r="F14" i="5" s="1"/>
  <c r="F18" i="5" s="1"/>
  <c r="B13" i="5"/>
  <c r="B10" i="5"/>
  <c r="C10" i="5"/>
  <c r="E10" i="5"/>
  <c r="G10" i="5"/>
  <c r="I10" i="5"/>
  <c r="K10" i="5"/>
  <c r="M10" i="5"/>
  <c r="O10" i="5"/>
  <c r="Q10" i="5"/>
  <c r="S10" i="5"/>
  <c r="C13" i="5"/>
  <c r="E13" i="5"/>
  <c r="G13" i="5"/>
  <c r="I13" i="5"/>
  <c r="K13" i="5"/>
  <c r="M13" i="5"/>
  <c r="O13" i="5"/>
  <c r="Q13" i="5"/>
  <c r="S13" i="5"/>
  <c r="U15" i="5"/>
  <c r="U16" i="5"/>
  <c r="C17" i="5"/>
  <c r="E17" i="5"/>
  <c r="G17" i="5"/>
  <c r="I17" i="5"/>
  <c r="K17" i="5"/>
  <c r="M17" i="5"/>
  <c r="O17" i="5"/>
  <c r="Q17" i="5"/>
  <c r="S17" i="5"/>
  <c r="R14" i="5" l="1"/>
  <c r="R18" i="5" s="1"/>
  <c r="P14" i="5"/>
  <c r="P18" i="5" s="1"/>
  <c r="M14" i="5"/>
  <c r="M18" i="5" s="1"/>
  <c r="L14" i="5"/>
  <c r="L18" i="5" s="1"/>
  <c r="J14" i="5"/>
  <c r="J18" i="5" s="1"/>
  <c r="H14" i="5"/>
  <c r="H18" i="5" s="1"/>
  <c r="D14" i="5"/>
  <c r="D18" i="5" s="1"/>
  <c r="T13" i="5"/>
  <c r="B14" i="5"/>
  <c r="B18" i="5" s="1"/>
  <c r="U13" i="5"/>
  <c r="T10" i="5"/>
  <c r="U10" i="5"/>
  <c r="R25" i="2"/>
  <c r="P25" i="2"/>
  <c r="N25" i="2"/>
  <c r="L25" i="2"/>
  <c r="J25" i="2"/>
  <c r="U10" i="2"/>
  <c r="T10" i="2"/>
  <c r="H25" i="2"/>
  <c r="T23" i="2"/>
  <c r="F25" i="2"/>
  <c r="T30" i="2"/>
  <c r="U23" i="2"/>
  <c r="U19" i="2"/>
  <c r="D25" i="2"/>
  <c r="T19" i="2"/>
  <c r="T15" i="2"/>
  <c r="U15" i="2"/>
  <c r="U7" i="2"/>
  <c r="T7" i="2"/>
  <c r="B32" i="2"/>
  <c r="T32" i="2" s="1"/>
  <c r="C32" i="2"/>
  <c r="U32" i="2" s="1"/>
  <c r="U30" i="2"/>
  <c r="B25" i="2"/>
  <c r="C25" i="2"/>
  <c r="G25" i="2"/>
  <c r="S25" i="2"/>
  <c r="Q25" i="2"/>
  <c r="O25" i="2"/>
  <c r="K25" i="2"/>
  <c r="M25" i="2"/>
  <c r="E25" i="2"/>
  <c r="I25" i="2"/>
  <c r="E14" i="5"/>
  <c r="E18" i="5" s="1"/>
  <c r="I14" i="5"/>
  <c r="I18" i="5" s="1"/>
  <c r="Q14" i="5"/>
  <c r="Q18" i="5" s="1"/>
  <c r="G14" i="5"/>
  <c r="G18" i="5" s="1"/>
  <c r="O14" i="5"/>
  <c r="O18" i="5" s="1"/>
  <c r="U17" i="5"/>
  <c r="S14" i="5"/>
  <c r="S18" i="5" s="1"/>
  <c r="K14" i="5"/>
  <c r="K18" i="5" s="1"/>
  <c r="C14" i="5"/>
  <c r="T14" i="5" l="1"/>
  <c r="T18" i="5" s="1"/>
  <c r="U14" i="5"/>
  <c r="U18" i="5" s="1"/>
  <c r="T25" i="2"/>
  <c r="U25" i="2"/>
  <c r="C18" i="5"/>
  <c r="M24" i="1"/>
  <c r="M20" i="1"/>
  <c r="D16" i="1"/>
  <c r="D13" i="1"/>
  <c r="M12" i="1"/>
  <c r="M8" i="1"/>
  <c r="D6" i="1"/>
  <c r="D4" i="1"/>
  <c r="D3" i="1"/>
  <c r="C25" i="1"/>
  <c r="D25" i="1" s="1"/>
  <c r="C23" i="1"/>
  <c r="C22" i="1"/>
  <c r="D22" i="1" s="1"/>
  <c r="C19" i="1"/>
  <c r="C18" i="1"/>
  <c r="C17" i="1"/>
  <c r="C16" i="1"/>
  <c r="C13" i="1"/>
  <c r="C11" i="1"/>
  <c r="C10" i="1"/>
  <c r="C9" i="1"/>
  <c r="C7" i="1"/>
  <c r="C6" i="1"/>
  <c r="C5" i="1"/>
  <c r="C4" i="1"/>
  <c r="C3" i="1"/>
  <c r="M25" i="1"/>
  <c r="M13" i="1"/>
  <c r="D10" i="1" l="1"/>
  <c r="F10" i="1" s="1"/>
  <c r="M14" i="1"/>
  <c r="D7" i="1"/>
  <c r="E7" i="1" s="1"/>
  <c r="E17" i="1"/>
  <c r="D17" i="1"/>
  <c r="E6" i="1"/>
  <c r="F6" i="1" s="1"/>
  <c r="G6" i="1" s="1"/>
  <c r="E13" i="1"/>
  <c r="D18" i="1"/>
  <c r="E22" i="1"/>
  <c r="F22" i="1" s="1"/>
  <c r="G22" i="1" s="1"/>
  <c r="E3" i="1"/>
  <c r="E10" i="1"/>
  <c r="F3" i="1"/>
  <c r="E4" i="1"/>
  <c r="D11" i="1"/>
  <c r="D9" i="1"/>
  <c r="D23" i="1"/>
  <c r="D19" i="1"/>
  <c r="E19" i="1" s="1"/>
  <c r="F19" i="1" s="1"/>
  <c r="E25" i="1"/>
  <c r="D5" i="1"/>
  <c r="E11" i="1"/>
  <c r="F11" i="1" s="1"/>
  <c r="E16" i="1"/>
  <c r="B34" i="1"/>
  <c r="B37" i="1" s="1"/>
  <c r="B24" i="1"/>
  <c r="B20" i="1"/>
  <c r="L15" i="1"/>
  <c r="B12" i="1"/>
  <c r="B8" i="1"/>
  <c r="F18" i="1" l="1"/>
  <c r="G10" i="1"/>
  <c r="H10" i="1"/>
  <c r="E18" i="1"/>
  <c r="G18" i="1" s="1"/>
  <c r="J10" i="1"/>
  <c r="K10" i="1" s="1"/>
  <c r="G17" i="1"/>
  <c r="H6" i="1"/>
  <c r="I6" i="1" s="1"/>
  <c r="G3" i="1"/>
  <c r="G11" i="1"/>
  <c r="I10" i="1"/>
  <c r="F4" i="1"/>
  <c r="F7" i="1"/>
  <c r="G7" i="1" s="1"/>
  <c r="H22" i="1"/>
  <c r="G16" i="1"/>
  <c r="F16" i="1"/>
  <c r="E5" i="1"/>
  <c r="F5" i="1" s="1"/>
  <c r="E23" i="1"/>
  <c r="F25" i="1"/>
  <c r="G25" i="1" s="1"/>
  <c r="H25" i="1" s="1"/>
  <c r="G19" i="1"/>
  <c r="E9" i="1"/>
  <c r="F13" i="1"/>
  <c r="F17" i="1"/>
  <c r="I22" i="1"/>
  <c r="C8" i="1"/>
  <c r="B26" i="1"/>
  <c r="C12" i="1"/>
  <c r="B14" i="1"/>
  <c r="C24" i="1"/>
  <c r="D8" i="1"/>
  <c r="C20" i="1"/>
  <c r="K6" i="1" l="1"/>
  <c r="J6" i="1"/>
  <c r="H17" i="1"/>
  <c r="J17" i="1" s="1"/>
  <c r="B27" i="1"/>
  <c r="I17" i="1"/>
  <c r="H19" i="1"/>
  <c r="I19" i="1" s="1"/>
  <c r="J19" i="1" s="1"/>
  <c r="F23" i="1"/>
  <c r="J22" i="1"/>
  <c r="K22" i="1" s="1"/>
  <c r="J25" i="1"/>
  <c r="G13" i="1"/>
  <c r="H7" i="1"/>
  <c r="F9" i="1"/>
  <c r="I25" i="1"/>
  <c r="H11" i="1"/>
  <c r="I11" i="1" s="1"/>
  <c r="I7" i="1"/>
  <c r="H16" i="1"/>
  <c r="I16" i="1" s="1"/>
  <c r="G5" i="1"/>
  <c r="H5" i="1" s="1"/>
  <c r="G4" i="1"/>
  <c r="H3" i="1"/>
  <c r="H18" i="1"/>
  <c r="C14" i="1"/>
  <c r="C26" i="1"/>
  <c r="E12" i="1"/>
  <c r="D12" i="1"/>
  <c r="D14" i="1" s="1"/>
  <c r="E8" i="1"/>
  <c r="D20" i="1"/>
  <c r="D24" i="1"/>
  <c r="K7" i="1" l="1"/>
  <c r="K17" i="1"/>
  <c r="K25" i="1"/>
  <c r="K16" i="1"/>
  <c r="J16" i="1"/>
  <c r="I3" i="1"/>
  <c r="J3" i="1" s="1"/>
  <c r="K3" i="1"/>
  <c r="H9" i="1"/>
  <c r="I9" i="1" s="1"/>
  <c r="K19" i="1"/>
  <c r="H4" i="1"/>
  <c r="I4" i="1" s="1"/>
  <c r="G9" i="1"/>
  <c r="G23" i="1"/>
  <c r="H23" i="1" s="1"/>
  <c r="H13" i="1"/>
  <c r="J11" i="1"/>
  <c r="K11" i="1" s="1"/>
  <c r="J7" i="1"/>
  <c r="I5" i="1"/>
  <c r="J5" i="1" s="1"/>
  <c r="K5" i="1" s="1"/>
  <c r="I18" i="1"/>
  <c r="J18" i="1" s="1"/>
  <c r="K18" i="1" s="1"/>
  <c r="C27" i="1"/>
  <c r="G20" i="1"/>
  <c r="L21" i="1"/>
  <c r="F12" i="1"/>
  <c r="F8" i="1"/>
  <c r="E24" i="1"/>
  <c r="E14" i="1"/>
  <c r="E20" i="1"/>
  <c r="D26" i="1"/>
  <c r="I23" i="1" l="1"/>
  <c r="J23" i="1"/>
  <c r="L11" i="1"/>
  <c r="N11" i="1" s="1"/>
  <c r="I13" i="1"/>
  <c r="J13" i="1" s="1"/>
  <c r="K13" i="1"/>
  <c r="L13" i="1" s="1"/>
  <c r="N13" i="1" s="1"/>
  <c r="J9" i="1"/>
  <c r="K9" i="1" s="1"/>
  <c r="J4" i="1"/>
  <c r="K4" i="1" s="1"/>
  <c r="K23" i="1"/>
  <c r="E26" i="1"/>
  <c r="F14" i="1"/>
  <c r="L6" i="1"/>
  <c r="N6" i="1" s="1"/>
  <c r="L5" i="1"/>
  <c r="N5" i="1" s="1"/>
  <c r="D27" i="1"/>
  <c r="F24" i="1"/>
  <c r="G8" i="1"/>
  <c r="H8" i="1"/>
  <c r="F20" i="1"/>
  <c r="G12" i="1"/>
  <c r="L7" i="1"/>
  <c r="N7" i="1" s="1"/>
  <c r="G24" i="1"/>
  <c r="G26" i="1" s="1"/>
  <c r="L4" i="1" l="1"/>
  <c r="N4" i="1" s="1"/>
  <c r="J8" i="1"/>
  <c r="E27" i="1"/>
  <c r="I12" i="1"/>
  <c r="L22" i="1"/>
  <c r="N22" i="1" s="1"/>
  <c r="G14" i="1"/>
  <c r="L25" i="1"/>
  <c r="N25" i="1" s="1"/>
  <c r="L18" i="1"/>
  <c r="N18" i="1" s="1"/>
  <c r="F26" i="1"/>
  <c r="I8" i="1"/>
  <c r="K8" i="1"/>
  <c r="H24" i="1"/>
  <c r="L19" i="1"/>
  <c r="N19" i="1" s="1"/>
  <c r="L3" i="1"/>
  <c r="I24" i="1"/>
  <c r="H20" i="1"/>
  <c r="L8" i="1" l="1"/>
  <c r="N3" i="1"/>
  <c r="I14" i="1"/>
  <c r="H12" i="1"/>
  <c r="H14" i="1" s="1"/>
  <c r="J24" i="1"/>
  <c r="H26" i="1"/>
  <c r="L23" i="1"/>
  <c r="K24" i="1"/>
  <c r="F27" i="1"/>
  <c r="G27" i="1" s="1"/>
  <c r="I20" i="1"/>
  <c r="I26" i="1" s="1"/>
  <c r="L9" i="1"/>
  <c r="N9" i="1" s="1"/>
  <c r="L16" i="1"/>
  <c r="N16" i="1" s="1"/>
  <c r="L24" i="1" l="1"/>
  <c r="N23" i="1"/>
  <c r="H27" i="1"/>
  <c r="I27" i="1" s="1"/>
  <c r="K12" i="1"/>
  <c r="K14" i="1" s="1"/>
  <c r="J12" i="1"/>
  <c r="J14" i="1" s="1"/>
  <c r="J20" i="1"/>
  <c r="J26" i="1" s="1"/>
  <c r="K20" i="1"/>
  <c r="L10" i="1" l="1"/>
  <c r="L17" i="1"/>
  <c r="N17" i="1" s="1"/>
  <c r="J27" i="1"/>
  <c r="K26" i="1"/>
  <c r="L26" i="1" s="1"/>
  <c r="L20" i="1"/>
  <c r="L12" i="1" l="1"/>
  <c r="L14" i="1" s="1"/>
  <c r="N14" i="1" s="1"/>
  <c r="N10" i="1"/>
  <c r="K27" i="1"/>
  <c r="L27" i="1" l="1"/>
</calcChain>
</file>

<file path=xl/sharedStrings.xml><?xml version="1.0" encoding="utf-8"?>
<sst xmlns="http://schemas.openxmlformats.org/spreadsheetml/2006/main" count="215" uniqueCount="154">
  <si>
    <t>megnevezés</t>
  </si>
  <si>
    <t>I. negyedév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</si>
  <si>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</si>
  <si>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</si>
  <si>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</si>
  <si>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</si>
  <si>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</si>
  <si>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</si>
  <si>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</si>
  <si>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</si>
  <si>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</si>
  <si>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</si>
  <si>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Kiadások</t>
  </si>
  <si>
    <t>Személyi juttatások</t>
  </si>
  <si>
    <t>Munkaadókat terhelő járulékok</t>
  </si>
  <si>
    <t>Dologi kiadások</t>
  </si>
  <si>
    <t>Ellátottak pénzbeli juttatásai</t>
  </si>
  <si>
    <t>Egyéb működési célú kiadások</t>
  </si>
  <si>
    <t>Működési költségvetési kiadások összesen:</t>
  </si>
  <si>
    <t>Beruházások</t>
  </si>
  <si>
    <t>Felújítások</t>
  </si>
  <si>
    <t>Egyéb felhalmozási célú kiadások</t>
  </si>
  <si>
    <t>Felhalmozási költségvetési kiadások összesen:</t>
  </si>
  <si>
    <t>Finanszírozási kiadások összesen:</t>
  </si>
  <si>
    <t>Kiadások összesen:</t>
  </si>
  <si>
    <t>Bevételek</t>
  </si>
  <si>
    <t>Működési célú támogatások államháztartáson belülről</t>
  </si>
  <si>
    <t>Közhatalmi bevételek</t>
  </si>
  <si>
    <t>Működési bevételek</t>
  </si>
  <si>
    <t>Működési célú átvett pénzeszközök</t>
  </si>
  <si>
    <t>Működési költségvetési bevételek összesen:</t>
  </si>
  <si>
    <t>Felhalmozási célú támogatások államháztartáson belülről</t>
  </si>
  <si>
    <t>Felhalmozási bevételek</t>
  </si>
  <si>
    <t>Felhalmozási célú átvett pénzeszközök</t>
  </si>
  <si>
    <t>Felhalmozási költségvetési bevételek összesen:</t>
  </si>
  <si>
    <t>Finanszírozási bevételek összesen:</t>
  </si>
  <si>
    <t>Bevételek összesen:</t>
  </si>
  <si>
    <t xml:space="preserve">Egyenleg </t>
  </si>
  <si>
    <t>Nyitó pénzkészlet</t>
  </si>
  <si>
    <t>Bevételek költégvetési</t>
  </si>
  <si>
    <t>Államh.megelőlegz.</t>
  </si>
  <si>
    <t>Kiadások költségvetési</t>
  </si>
  <si>
    <t>Egyenleg</t>
  </si>
  <si>
    <t>Záró pénzkészlet</t>
  </si>
  <si>
    <t>Korrekciós tételek miatti eltérés</t>
  </si>
  <si>
    <t>Megnevezés</t>
  </si>
  <si>
    <t>1. Tevékenység nettó eredményszemléletű bevétele</t>
  </si>
  <si>
    <t>2. Aktivált saját teljesítmények értéke</t>
  </si>
  <si>
    <t>3. Egyéb eredményszemléletű bevételek</t>
  </si>
  <si>
    <t>4. Anyagjellegű ráfordítások</t>
  </si>
  <si>
    <t>5. Személyi jellegű ráfordítások</t>
  </si>
  <si>
    <t>6. Értékcsökkenési leírás</t>
  </si>
  <si>
    <t>7. Egyéb ráfordítások</t>
  </si>
  <si>
    <r>
      <t xml:space="preserve">8. Tevékenység eredménye </t>
    </r>
    <r>
      <rPr>
        <sz val="10"/>
        <rFont val="Times New Roman"/>
        <family val="1"/>
        <charset val="238"/>
      </rPr>
      <t>(1+2+3-4-5-6-7)</t>
    </r>
  </si>
  <si>
    <t>9. Pénzügyi műveletek eredményszemléletű bevételei</t>
  </si>
  <si>
    <t xml:space="preserve">10. Pénzügyi műveletek ráfordításai </t>
  </si>
  <si>
    <r>
      <t xml:space="preserve">11. Pénzügyi műveletek eredméyne </t>
    </r>
    <r>
      <rPr>
        <sz val="10"/>
        <rFont val="Times New Roman"/>
        <family val="1"/>
        <charset val="238"/>
      </rPr>
      <t>(9-10)</t>
    </r>
  </si>
  <si>
    <r>
      <t xml:space="preserve">12. SZOKÁSOS EREDMÉNY </t>
    </r>
    <r>
      <rPr>
        <sz val="10"/>
        <rFont val="Times New Roman"/>
        <family val="1"/>
        <charset val="238"/>
      </rPr>
      <t>(8+11)</t>
    </r>
  </si>
  <si>
    <t>13. Rendkívüli eredményszemléletű bevételek</t>
  </si>
  <si>
    <t>14. Rendkívüli ráfordítások</t>
  </si>
  <si>
    <r>
      <t xml:space="preserve">15. Rendkívüli eredmény </t>
    </r>
    <r>
      <rPr>
        <sz val="10"/>
        <rFont val="Times New Roman"/>
        <family val="1"/>
        <charset val="238"/>
      </rPr>
      <t>(13-14)</t>
    </r>
  </si>
  <si>
    <r>
      <t xml:space="preserve">16. MÉRLEG SZERINTI EREDMÉNY </t>
    </r>
    <r>
      <rPr>
        <sz val="10"/>
        <rFont val="Times New Roman"/>
        <family val="1"/>
        <charset val="238"/>
      </rPr>
      <t>(12+15)</t>
    </r>
  </si>
  <si>
    <t xml:space="preserve">Budapest I. kerület Budavári Ökormányzat </t>
  </si>
  <si>
    <t>Budapest Főváros I. Kerület Budavári Polgármesteri Hivatal</t>
  </si>
  <si>
    <t>Budapest I. kerület Budavári Önkormányzat Egészségügyi Szolgálata</t>
  </si>
  <si>
    <t>Budapest I. kerület Budavári Önkormányzat Gazdasági Műszaki Ellátó és Szolgáltató Szervezet</t>
  </si>
  <si>
    <t>Brunszvik Teréz Budavári Óvodák</t>
  </si>
  <si>
    <t>Budapest I. kerület Budavári Önkormányzat Egyesített Bölcsőde</t>
  </si>
  <si>
    <t>Budapest I. kerület Budavári Önkormányzat Szociális és Gyermekjóléti Szolgáltatási Központ</t>
  </si>
  <si>
    <t>Czakó utcai Sport- és Szabadidőközpont</t>
  </si>
  <si>
    <t>Márai Sándor Művelődési Ház</t>
  </si>
  <si>
    <t>2020. év</t>
  </si>
  <si>
    <t xml:space="preserve">2021. év </t>
  </si>
  <si>
    <t>A/I. Immateriális javak</t>
  </si>
  <si>
    <t>A/II. Tárgyi eszközök</t>
  </si>
  <si>
    <t>A/III. Befektetett pénzügyi eszközök</t>
  </si>
  <si>
    <t>A/IV. Koncesszióba, vagyonkezelésbe adott eszközök</t>
  </si>
  <si>
    <t>A) Nemzeti vagyonba tartozó befektetett eszközök</t>
  </si>
  <si>
    <t>B/I. Készletek</t>
  </si>
  <si>
    <t>B) Nemzeti vagyonba tartozó forgóeszközök</t>
  </si>
  <si>
    <t>C/I. Lekötött bankbetétek</t>
  </si>
  <si>
    <t>C/II. Pénztárak</t>
  </si>
  <si>
    <t>C/III. Forintszámlák</t>
  </si>
  <si>
    <t>C/IV. Devizaszámlák</t>
  </si>
  <si>
    <t>C) Pénzeszközök</t>
  </si>
  <si>
    <t>D/I. Költségvetési évben esedékes követelések</t>
  </si>
  <si>
    <t>D/II. Költségvetési évet követően esedékes követelések</t>
  </si>
  <si>
    <t>D/III.Követelés jellegű sajátos elszámolások</t>
  </si>
  <si>
    <t>D) Követelések</t>
  </si>
  <si>
    <t>E/I. Előzetesen felszámított általános forgalmi adó elszámolása</t>
  </si>
  <si>
    <t>E/II. Fizetendő általános forgalmi adó elszámolása</t>
  </si>
  <si>
    <t>E/III. Egyéb sajátos eszközoldali elszámolások</t>
  </si>
  <si>
    <t>E) Egyéb sajátos elszámolások</t>
  </si>
  <si>
    <t>F) Aktív időbeli elhatárolások</t>
  </si>
  <si>
    <t>ESZKÖZÖK ÖSSZESEN</t>
  </si>
  <si>
    <t>G) Saját tőke</t>
  </si>
  <si>
    <t>H/I. Költségvetési évben esedékes kötelezettségek</t>
  </si>
  <si>
    <t>H/II. Költségvetési évet követően esedékes kötelezettségek</t>
  </si>
  <si>
    <t>H/III. Kötelezettség jellegű sajátos elszámolások</t>
  </si>
  <si>
    <t>H) Kötelezettségek</t>
  </si>
  <si>
    <t>J) Passzív időbeli elhatárolások</t>
  </si>
  <si>
    <t>FORRÁSOK ÖSSZESEN</t>
  </si>
  <si>
    <t>B/II. Értékpapírok</t>
  </si>
  <si>
    <t>Kiadások nyilvántartási ellenszámla  tárgyidőszaki egyenlege [-003]</t>
  </si>
  <si>
    <t>Bevételek nyilvántartási ellenszámla  tárgyidőszaki egyenlege [+005]</t>
  </si>
  <si>
    <t>Előző év költségvetési maradványának igénybevétele teljesítése tárgyidőszaki egyenlege [-0981313]</t>
  </si>
  <si>
    <t>Adott előlegek számla  tárgyidőszaki forgalma összesen [+/-3651]</t>
  </si>
  <si>
    <t>Beruházásokra, felújításokra adott előlegek tárgyidőszaki forgalma [+/-36512]</t>
  </si>
  <si>
    <t>Túlfizetések, téves és visszajáró kifizetések tárgyidőszaki forgalma [+/-36516]</t>
  </si>
  <si>
    <t>Egyéb sajátos eszközoldali elszámolások tárgyidőszaki forgalma összesen [+/-366]</t>
  </si>
  <si>
    <t>Utalványok, bérletek és más hasonló, készpénz-helyettesítő fizetési eszköznek nem minősülő eszközök elszámolásai tárgyidőszaki forgalma [+/-3662]</t>
  </si>
  <si>
    <t>Kapott előlegek tárgyidőszaki forgalma [+/-3671]</t>
  </si>
  <si>
    <t>Túlfizetések, téves és visszajáró befizetések tárgyidőszaki forgalma [+/-36711]</t>
  </si>
  <si>
    <t>Egyéb kapott előlegek tárgyidőszaki forgalma [+/-36712]</t>
  </si>
  <si>
    <t>Továbbadási célból folyósított támogatások, ellátások elszámolása számla tárgyidőszaki forgalma [+/-3672]</t>
  </si>
  <si>
    <t>Más szervezetet megillető bevételek elszámolása számla tárgyidőszaki forgalma [+/-3673]</t>
  </si>
  <si>
    <t>Letétre, megőrzésre, fedezetkezelésre átvett pénzeszközök, biztosítékok tárgyidőszaki forgalma [+/-3678]</t>
  </si>
  <si>
    <t>01</t>
  </si>
  <si>
    <t>A. 32-33. számlák nyitó tárgyidőszaki egyenlege összesen ( =2+3)</t>
  </si>
  <si>
    <t>02</t>
  </si>
  <si>
    <t>32. számlák nyitó tárgyidőszaki egyenlege [+32]</t>
  </si>
  <si>
    <t>03</t>
  </si>
  <si>
    <t>33. számlák nyitó tárgyidőszaki egyenlege [+(331-3318) + (332-3328)]</t>
  </si>
  <si>
    <t>04</t>
  </si>
  <si>
    <t>05</t>
  </si>
  <si>
    <t>06</t>
  </si>
  <si>
    <t>07</t>
  </si>
  <si>
    <t>16</t>
  </si>
  <si>
    <t>18</t>
  </si>
  <si>
    <t>22</t>
  </si>
  <si>
    <t>36</t>
  </si>
  <si>
    <t>38</t>
  </si>
  <si>
    <t>39</t>
  </si>
  <si>
    <t>40</t>
  </si>
  <si>
    <t>41</t>
  </si>
  <si>
    <t>42</t>
  </si>
  <si>
    <t>43</t>
  </si>
  <si>
    <t>46</t>
  </si>
  <si>
    <t>53</t>
  </si>
  <si>
    <t>C. 32-33. számlák számított tárgyidőszaki záró egyenlege (A + B)</t>
  </si>
  <si>
    <t>54</t>
  </si>
  <si>
    <t>D. 32-33. számlák főkönyvi kivonat szerinti záró tárgyidőszaki egyenlege [+32 + (331-3318) + (332-3328)]</t>
  </si>
  <si>
    <t>56</t>
  </si>
  <si>
    <t>A. 31. számla nyitó tárgyidőszaki egyenlege [+ (311-3181)+ (312-3182)]</t>
  </si>
  <si>
    <t>57</t>
  </si>
  <si>
    <t>B. Korrekciós tételek összesen: (+58+59-60)</t>
  </si>
  <si>
    <t>58</t>
  </si>
  <si>
    <t>Pénzeszközök lekötött bankbetétként elhelyezése teljesítése tárgyidőszaki egyenlege [+059163]</t>
  </si>
  <si>
    <t>61</t>
  </si>
  <si>
    <t>C. 31. számla számított tárgyidőszaki záróegyenlege (A + B)</t>
  </si>
  <si>
    <t>62</t>
  </si>
  <si>
    <t>D. 31. számla főkönyvi kivonat szerinti záró tárgyidőszaki egyenlege [+ (311-3181) + (312-3182)]</t>
  </si>
  <si>
    <t>Foglalkoztatottaknak adott előlegek tárgyidőszaki forgalma [+/-36515]</t>
  </si>
  <si>
    <r>
      <t xml:space="preserve">B. Korrekciós tételek összesen: </t>
    </r>
    <r>
      <rPr>
        <sz val="8"/>
        <rFont val="Times New Roman"/>
        <family val="1"/>
        <charset val="238"/>
      </rPr>
      <t>(5+6+7+8-9-10-11-12-13-14+15-16-23-30-31-32-33-34-35-36-39+42+43+44+45+46+47-50+51-52)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</si>
</sst>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\ _F_t_-;\-* #,##0\ _F_t_-;_-* &quot;-&quot;\ _F_t_-;_-@_-"/>
    <numFmt numFmtId="43" formatCode="_-* #,##0.00\ _F_t_-;\-* #,##0.00\ _F_t_-;_-* &quot;-&quot;??\ _F_t_-;_-@_-"/>
    <numFmt numFmtId="164" formatCode="#,##0_ ;\-#,##0\ "/>
    <numFmt numFmtId="165" formatCode="_-* #,##0\ _F_t_-;\-* #,##0\ _F_t_-;_-* &quot;-&quot;??\ _F_t_-;_-@_-"/>
    <numFmt numFmtId="166" formatCode="_-* #,##0\ [$Ft-40E]_-;\-* #,##0\ [$Ft-40E]_-;_-* &quot;-&quot;??\ [$Ft-40E]_-;_-@_-"/>
    <numFmt numFmtId="167" formatCode="_-* #,##0_-;\-* #,##0_-;_-* &quot;-&quot;??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theme="6" tint="0.59999389629810485"/>
        <bgColor indexed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hair">
        <color indexed="23"/>
      </right>
      <top style="hair">
        <color indexed="23"/>
      </top>
      <bottom style="hair">
        <color indexed="23"/>
      </bottom>
      <diagonal/>
    </border>
  </borders>
  <cellStyleXfs count="30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1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" fillId="0" borderId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4" fillId="0" borderId="0"/>
    <xf numFmtId="0" fontId="11" fillId="0" borderId="0"/>
    <xf numFmtId="0" fontId="1" fillId="0" borderId="0"/>
    <xf numFmtId="166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4" fillId="0" borderId="0"/>
    <xf numFmtId="166" fontId="1" fillId="0" borderId="0"/>
    <xf numFmtId="9" fontId="16" fillId="0" borderId="0" applyFont="0" applyFill="0" applyBorder="0" applyAlignment="0" applyProtection="0"/>
    <xf numFmtId="9" fontId="3" fillId="0" borderId="0" applyFill="0" applyAlignment="0" applyProtection="0"/>
    <xf numFmtId="0" fontId="4" fillId="0" borderId="0"/>
  </cellStyleXfs>
  <cellXfs count="98">
    <xf numFmtId="0" fontId="0" fillId="0" borderId="0" xfId="0"/>
    <xf numFmtId="38" fontId="4" fillId="0" borderId="0" xfId="2" applyNumberFormat="1" applyFont="1" applyAlignment="1">
      <alignment wrapText="1"/>
    </xf>
    <xf numFmtId="38" fontId="4" fillId="0" borderId="0" xfId="2" applyNumberFormat="1" applyFont="1"/>
    <xf numFmtId="38" fontId="5" fillId="0" borderId="0" xfId="2" applyNumberFormat="1" applyFont="1"/>
    <xf numFmtId="38" fontId="3" fillId="0" borderId="0" xfId="2" applyNumberFormat="1"/>
    <xf numFmtId="0" fontId="3" fillId="0" borderId="0" xfId="2"/>
    <xf numFmtId="38" fontId="8" fillId="0" borderId="0" xfId="2" applyNumberFormat="1" applyFont="1"/>
    <xf numFmtId="38" fontId="4" fillId="0" borderId="0" xfId="2" applyNumberFormat="1" applyFont="1" applyAlignment="1">
      <alignment vertical="center"/>
    </xf>
    <xf numFmtId="38" fontId="5" fillId="0" borderId="0" xfId="2" applyNumberFormat="1" applyFont="1" applyAlignment="1">
      <alignment vertical="center"/>
    </xf>
    <xf numFmtId="38" fontId="3" fillId="0" borderId="0" xfId="2" applyNumberFormat="1" applyAlignment="1">
      <alignment vertical="center"/>
    </xf>
    <xf numFmtId="0" fontId="3" fillId="0" borderId="0" xfId="2" applyAlignment="1">
      <alignment vertical="center"/>
    </xf>
    <xf numFmtId="38" fontId="8" fillId="2" borderId="1" xfId="2" applyNumberFormat="1" applyFont="1" applyFill="1" applyBorder="1" applyAlignment="1">
      <alignment vertical="center"/>
    </xf>
    <xf numFmtId="38" fontId="8" fillId="2" borderId="0" xfId="2" applyNumberFormat="1" applyFont="1" applyFill="1" applyAlignment="1">
      <alignment vertical="center"/>
    </xf>
    <xf numFmtId="38" fontId="8" fillId="3" borderId="0" xfId="2" applyNumberFormat="1" applyFont="1" applyFill="1" applyAlignment="1">
      <alignment vertical="center"/>
    </xf>
    <xf numFmtId="38" fontId="5" fillId="4" borderId="0" xfId="2" applyNumberFormat="1" applyFont="1" applyFill="1" applyAlignment="1">
      <alignment vertical="center"/>
    </xf>
    <xf numFmtId="38" fontId="3" fillId="4" borderId="0" xfId="2" applyNumberFormat="1" applyFill="1" applyAlignment="1">
      <alignment vertical="center"/>
    </xf>
    <xf numFmtId="0" fontId="3" fillId="4" borderId="0" xfId="2" applyFill="1" applyAlignment="1">
      <alignment vertical="center"/>
    </xf>
    <xf numFmtId="38" fontId="7" fillId="0" borderId="0" xfId="2" applyNumberFormat="1" applyFont="1" applyAlignment="1">
      <alignment vertical="center" wrapText="1"/>
    </xf>
    <xf numFmtId="38" fontId="8" fillId="0" borderId="0" xfId="2" applyNumberFormat="1" applyFont="1" applyAlignment="1">
      <alignment vertical="center"/>
    </xf>
    <xf numFmtId="38" fontId="4" fillId="0" borderId="0" xfId="2" applyNumberFormat="1" applyFont="1" applyAlignment="1">
      <alignment vertical="center" wrapText="1"/>
    </xf>
    <xf numFmtId="0" fontId="2" fillId="0" borderId="2" xfId="0" applyFont="1" applyBorder="1"/>
    <xf numFmtId="165" fontId="2" fillId="0" borderId="2" xfId="1" applyNumberFormat="1" applyFont="1" applyBorder="1"/>
    <xf numFmtId="0" fontId="0" fillId="0" borderId="2" xfId="0" applyBorder="1"/>
    <xf numFmtId="165" fontId="0" fillId="0" borderId="2" xfId="1" applyNumberFormat="1" applyFont="1" applyBorder="1"/>
    <xf numFmtId="0" fontId="2" fillId="5" borderId="2" xfId="0" applyFont="1" applyFill="1" applyBorder="1"/>
    <xf numFmtId="165" fontId="2" fillId="5" borderId="2" xfId="1" applyNumberFormat="1" applyFont="1" applyFill="1" applyBorder="1"/>
    <xf numFmtId="38" fontId="4" fillId="5" borderId="2" xfId="2" applyNumberFormat="1" applyFont="1" applyFill="1" applyBorder="1" applyAlignment="1">
      <alignment wrapText="1"/>
    </xf>
    <xf numFmtId="3" fontId="17" fillId="0" borderId="0" xfId="0" applyNumberFormat="1" applyFont="1" applyAlignment="1">
      <alignment horizontal="right" vertical="top" wrapText="1"/>
    </xf>
    <xf numFmtId="3" fontId="21" fillId="6" borderId="3" xfId="0" applyNumberFormat="1" applyFont="1" applyFill="1" applyBorder="1" applyAlignment="1" applyProtection="1">
      <alignment horizontal="center" vertical="center" wrapText="1"/>
    </xf>
    <xf numFmtId="3" fontId="20" fillId="0" borderId="3" xfId="0" applyNumberFormat="1" applyFont="1" applyFill="1" applyBorder="1" applyAlignment="1" applyProtection="1">
      <alignment vertical="center" wrapText="1"/>
    </xf>
    <xf numFmtId="3" fontId="20" fillId="0" borderId="3" xfId="0" applyNumberFormat="1" applyFont="1" applyFill="1" applyBorder="1" applyAlignment="1" applyProtection="1">
      <alignment horizontal="right" wrapText="1"/>
    </xf>
    <xf numFmtId="3" fontId="20" fillId="0" borderId="3" xfId="0" applyNumberFormat="1" applyFont="1" applyFill="1" applyBorder="1" applyAlignment="1" applyProtection="1">
      <alignment horizontal="right"/>
    </xf>
    <xf numFmtId="3" fontId="18" fillId="0" borderId="3" xfId="0" applyNumberFormat="1" applyFont="1" applyFill="1" applyBorder="1" applyAlignment="1" applyProtection="1">
      <alignment horizontal="right"/>
    </xf>
    <xf numFmtId="3" fontId="21" fillId="0" borderId="3" xfId="0" applyNumberFormat="1" applyFont="1" applyFill="1" applyBorder="1" applyAlignment="1" applyProtection="1">
      <alignment horizontal="right" wrapText="1"/>
    </xf>
    <xf numFmtId="0" fontId="19" fillId="0" borderId="3" xfId="0" applyNumberFormat="1" applyFont="1" applyFill="1" applyBorder="1" applyAlignment="1" applyProtection="1">
      <alignment horizontal="right" wrapText="1"/>
    </xf>
    <xf numFmtId="3" fontId="21" fillId="0" borderId="3" xfId="0" applyNumberFormat="1" applyFont="1" applyFill="1" applyBorder="1" applyAlignment="1" applyProtection="1">
      <alignment vertical="center" wrapText="1"/>
    </xf>
    <xf numFmtId="3" fontId="21" fillId="0" borderId="3" xfId="0" applyNumberFormat="1" applyFont="1" applyFill="1" applyBorder="1" applyAlignment="1" applyProtection="1">
      <alignment horizontal="right"/>
    </xf>
    <xf numFmtId="3" fontId="19" fillId="0" borderId="3" xfId="0" applyNumberFormat="1" applyFont="1" applyFill="1" applyBorder="1" applyAlignment="1" applyProtection="1">
      <alignment horizontal="right"/>
    </xf>
    <xf numFmtId="3" fontId="21" fillId="5" borderId="3" xfId="0" applyNumberFormat="1" applyFont="1" applyFill="1" applyBorder="1" applyAlignment="1" applyProtection="1">
      <alignment vertical="center" wrapText="1"/>
    </xf>
    <xf numFmtId="3" fontId="21" fillId="5" borderId="3" xfId="0" applyNumberFormat="1" applyFont="1" applyFill="1" applyBorder="1" applyAlignment="1" applyProtection="1">
      <alignment horizontal="right"/>
    </xf>
    <xf numFmtId="3" fontId="20" fillId="6" borderId="3" xfId="0" applyNumberFormat="1" applyFont="1" applyFill="1" applyBorder="1" applyAlignment="1" applyProtection="1">
      <alignment horizontal="center" vertical="center" wrapText="1"/>
    </xf>
    <xf numFmtId="0" fontId="18" fillId="6" borderId="3" xfId="0" applyNumberFormat="1" applyFont="1" applyFill="1" applyBorder="1" applyAlignment="1" applyProtection="1">
      <alignment horizontal="center" vertical="center" wrapText="1"/>
    </xf>
    <xf numFmtId="0" fontId="18" fillId="0" borderId="3" xfId="0" applyNumberFormat="1" applyFont="1" applyFill="1" applyBorder="1" applyAlignment="1" applyProtection="1">
      <alignment wrapText="1"/>
    </xf>
    <xf numFmtId="3" fontId="18" fillId="0" borderId="3" xfId="0" applyNumberFormat="1" applyFont="1" applyFill="1" applyBorder="1" applyAlignment="1" applyProtection="1"/>
    <xf numFmtId="0" fontId="18" fillId="0" borderId="3" xfId="0" applyNumberFormat="1" applyFont="1" applyFill="1" applyBorder="1" applyAlignment="1" applyProtection="1">
      <alignment horizontal="left" wrapText="1"/>
    </xf>
    <xf numFmtId="0" fontId="19" fillId="0" borderId="3" xfId="0" applyNumberFormat="1" applyFont="1" applyFill="1" applyBorder="1" applyAlignment="1" applyProtection="1">
      <alignment wrapText="1"/>
    </xf>
    <xf numFmtId="3" fontId="19" fillId="0" borderId="3" xfId="0" applyNumberFormat="1" applyFont="1" applyFill="1" applyBorder="1" applyAlignment="1" applyProtection="1"/>
    <xf numFmtId="0" fontId="19" fillId="5" borderId="3" xfId="0" applyNumberFormat="1" applyFont="1" applyFill="1" applyBorder="1" applyAlignment="1" applyProtection="1">
      <alignment wrapText="1"/>
    </xf>
    <xf numFmtId="3" fontId="19" fillId="5" borderId="3" xfId="0" applyNumberFormat="1" applyFont="1" applyFill="1" applyBorder="1" applyAlignment="1" applyProtection="1"/>
    <xf numFmtId="0" fontId="23" fillId="0" borderId="0" xfId="0" applyFont="1"/>
    <xf numFmtId="167" fontId="23" fillId="0" borderId="3" xfId="1" applyNumberFormat="1" applyFont="1" applyBorder="1" applyAlignment="1">
      <alignment vertical="center"/>
    </xf>
    <xf numFmtId="167" fontId="22" fillId="0" borderId="3" xfId="1" applyNumberFormat="1" applyFont="1" applyBorder="1" applyAlignment="1">
      <alignment horizontal="right" vertical="center"/>
    </xf>
    <xf numFmtId="0" fontId="23" fillId="0" borderId="3" xfId="0" applyFont="1" applyBorder="1"/>
    <xf numFmtId="3" fontId="20" fillId="6" borderId="9" xfId="0" applyNumberFormat="1" applyFont="1" applyFill="1" applyBorder="1" applyAlignment="1" applyProtection="1">
      <alignment vertical="center" wrapText="1"/>
    </xf>
    <xf numFmtId="3" fontId="20" fillId="6" borderId="10" xfId="0" applyNumberFormat="1" applyFont="1" applyFill="1" applyBorder="1" applyAlignment="1" applyProtection="1">
      <alignment vertical="center" wrapText="1"/>
    </xf>
    <xf numFmtId="167" fontId="22" fillId="0" borderId="14" xfId="1" applyNumberFormat="1" applyFont="1" applyBorder="1" applyAlignment="1">
      <alignment horizontal="right" vertical="center"/>
    </xf>
    <xf numFmtId="167" fontId="22" fillId="0" borderId="16" xfId="1" applyNumberFormat="1" applyFont="1" applyBorder="1" applyAlignment="1">
      <alignment horizontal="right" vertical="center"/>
    </xf>
    <xf numFmtId="167" fontId="22" fillId="0" borderId="17" xfId="1" applyNumberFormat="1" applyFont="1" applyBorder="1" applyAlignment="1">
      <alignment horizontal="right" vertical="center"/>
    </xf>
    <xf numFmtId="0" fontId="21" fillId="0" borderId="11" xfId="0" applyNumberFormat="1" applyFont="1" applyFill="1" applyBorder="1" applyAlignment="1" applyProtection="1">
      <alignment horizontal="center" vertical="top" wrapText="1"/>
    </xf>
    <xf numFmtId="0" fontId="21" fillId="0" borderId="8" xfId="0" applyNumberFormat="1" applyFont="1" applyFill="1" applyBorder="1" applyAlignment="1" applyProtection="1">
      <alignment horizontal="left" vertical="top" wrapText="1"/>
    </xf>
    <xf numFmtId="0" fontId="20" fillId="0" borderId="13" xfId="0" applyNumberFormat="1" applyFont="1" applyFill="1" applyBorder="1" applyAlignment="1" applyProtection="1">
      <alignment horizontal="center" vertical="top" wrapText="1"/>
    </xf>
    <xf numFmtId="0" fontId="20" fillId="0" borderId="3" xfId="0" applyNumberFormat="1" applyFont="1" applyFill="1" applyBorder="1" applyAlignment="1" applyProtection="1">
      <alignment horizontal="left" vertical="top" wrapText="1"/>
    </xf>
    <xf numFmtId="0" fontId="21" fillId="0" borderId="13" xfId="0" applyNumberFormat="1" applyFont="1" applyFill="1" applyBorder="1" applyAlignment="1" applyProtection="1">
      <alignment horizontal="center" vertical="top" wrapText="1"/>
    </xf>
    <xf numFmtId="0" fontId="21" fillId="0" borderId="3" xfId="0" applyNumberFormat="1" applyFont="1" applyFill="1" applyBorder="1" applyAlignment="1" applyProtection="1">
      <alignment horizontal="left" vertical="top" wrapText="1"/>
    </xf>
    <xf numFmtId="0" fontId="21" fillId="0" borderId="15" xfId="0" applyNumberFormat="1" applyFont="1" applyFill="1" applyBorder="1" applyAlignment="1" applyProtection="1">
      <alignment horizontal="center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9" fillId="0" borderId="3" xfId="0" applyNumberFormat="1" applyFont="1" applyFill="1" applyBorder="1" applyAlignment="1" applyProtection="1">
      <alignment horizontal="left" vertical="top" wrapText="1"/>
    </xf>
    <xf numFmtId="3" fontId="0" fillId="0" borderId="0" xfId="0" applyNumberFormat="1"/>
    <xf numFmtId="3" fontId="21" fillId="0" borderId="8" xfId="0" applyNumberFormat="1" applyFont="1" applyFill="1" applyBorder="1" applyAlignment="1" applyProtection="1">
      <alignment horizontal="right" vertical="center" wrapText="1"/>
    </xf>
    <xf numFmtId="3" fontId="21" fillId="0" borderId="12" xfId="0" applyNumberFormat="1" applyFont="1" applyFill="1" applyBorder="1" applyAlignment="1" applyProtection="1">
      <alignment horizontal="right" vertical="center" wrapText="1"/>
    </xf>
    <xf numFmtId="3" fontId="20" fillId="0" borderId="3" xfId="0" applyNumberFormat="1" applyFont="1" applyFill="1" applyBorder="1" applyAlignment="1" applyProtection="1">
      <alignment horizontal="right" vertical="center" wrapText="1"/>
    </xf>
    <xf numFmtId="3" fontId="20" fillId="0" borderId="14" xfId="0" applyNumberFormat="1" applyFont="1" applyFill="1" applyBorder="1" applyAlignment="1" applyProtection="1">
      <alignment horizontal="right" vertical="center" wrapText="1"/>
    </xf>
    <xf numFmtId="3" fontId="21" fillId="0" borderId="3" xfId="0" applyNumberFormat="1" applyFont="1" applyFill="1" applyBorder="1" applyAlignment="1" applyProtection="1">
      <alignment horizontal="right" vertical="center" wrapText="1"/>
    </xf>
    <xf numFmtId="3" fontId="21" fillId="0" borderId="14" xfId="0" applyNumberFormat="1" applyFont="1" applyFill="1" applyBorder="1" applyAlignment="1" applyProtection="1">
      <alignment horizontal="right" vertical="center" wrapText="1"/>
    </xf>
    <xf numFmtId="0" fontId="23" fillId="0" borderId="3" xfId="0" applyFont="1" applyBorder="1" applyAlignment="1">
      <alignment vertical="center"/>
    </xf>
    <xf numFmtId="3" fontId="21" fillId="0" borderId="16" xfId="0" applyNumberFormat="1" applyFont="1" applyFill="1" applyBorder="1" applyAlignment="1" applyProtection="1">
      <alignment horizontal="right" vertical="center" wrapText="1"/>
    </xf>
    <xf numFmtId="38" fontId="4" fillId="0" borderId="3" xfId="2" applyNumberFormat="1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38" fontId="4" fillId="0" borderId="3" xfId="2" applyNumberFormat="1" applyFont="1" applyBorder="1" applyAlignment="1">
      <alignment vertical="center"/>
    </xf>
    <xf numFmtId="38" fontId="8" fillId="2" borderId="3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/>
    </xf>
    <xf numFmtId="38" fontId="4" fillId="0" borderId="3" xfId="2" applyNumberFormat="1" applyFont="1" applyBorder="1" applyAlignment="1">
      <alignment horizontal="right" vertical="center"/>
    </xf>
    <xf numFmtId="38" fontId="8" fillId="3" borderId="3" xfId="2" applyNumberFormat="1" applyFont="1" applyFill="1" applyBorder="1" applyAlignment="1">
      <alignment vertical="center" wrapText="1"/>
    </xf>
    <xf numFmtId="38" fontId="8" fillId="3" borderId="3" xfId="2" applyNumberFormat="1" applyFont="1" applyFill="1" applyBorder="1" applyAlignment="1">
      <alignment vertical="center"/>
    </xf>
    <xf numFmtId="38" fontId="8" fillId="2" borderId="18" xfId="2" applyNumberFormat="1" applyFont="1" applyFill="1" applyBorder="1" applyAlignment="1">
      <alignment vertical="center"/>
    </xf>
    <xf numFmtId="38" fontId="4" fillId="0" borderId="3" xfId="2" applyNumberFormat="1" applyFont="1" applyBorder="1" applyAlignment="1">
      <alignment horizontal="left" vertical="center" wrapText="1"/>
    </xf>
    <xf numFmtId="164" fontId="4" fillId="0" borderId="3" xfId="2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 wrapText="1"/>
    </xf>
    <xf numFmtId="164" fontId="8" fillId="2" borderId="3" xfId="2" applyNumberFormat="1" applyFont="1" applyFill="1" applyBorder="1" applyAlignment="1">
      <alignment vertical="center"/>
    </xf>
    <xf numFmtId="38" fontId="9" fillId="0" borderId="3" xfId="2" applyNumberFormat="1" applyFont="1" applyBorder="1" applyAlignment="1">
      <alignment vertical="center"/>
    </xf>
    <xf numFmtId="38" fontId="4" fillId="0" borderId="3" xfId="2" applyNumberFormat="1" applyFont="1" applyBorder="1" applyAlignment="1">
      <alignment wrapText="1"/>
    </xf>
    <xf numFmtId="38" fontId="6" fillId="0" borderId="3" xfId="2" applyNumberFormat="1" applyFont="1" applyBorder="1" applyAlignment="1">
      <alignment horizontal="center"/>
    </xf>
    <xf numFmtId="38" fontId="7" fillId="0" borderId="3" xfId="2" applyNumberFormat="1" applyFont="1" applyBorder="1" applyAlignment="1">
      <alignment wrapText="1"/>
    </xf>
    <xf numFmtId="38" fontId="8" fillId="0" borderId="3" xfId="2" applyNumberFormat="1" applyFont="1" applyBorder="1"/>
    <xf numFmtId="3" fontId="20" fillId="6" borderId="4" xfId="0" applyNumberFormat="1" applyFont="1" applyFill="1" applyBorder="1" applyAlignment="1" applyProtection="1">
      <alignment horizontal="center" vertical="center" wrapText="1"/>
    </xf>
    <xf numFmtId="3" fontId="20" fillId="6" borderId="5" xfId="0" applyNumberFormat="1" applyFont="1" applyFill="1" applyBorder="1" applyAlignment="1" applyProtection="1">
      <alignment horizontal="center" vertical="center" wrapText="1"/>
    </xf>
    <xf numFmtId="0" fontId="23" fillId="7" borderId="6" xfId="0" applyFont="1" applyFill="1" applyBorder="1" applyAlignment="1">
      <alignment horizontal="center"/>
    </xf>
    <xf numFmtId="0" fontId="23" fillId="7" borderId="7" xfId="0" applyFont="1" applyFill="1" applyBorder="1" applyAlignment="1">
      <alignment horizontal="center"/>
    </xf>
  </cellXfs>
  <cellStyles count="30">
    <cellStyle name="Ezres" xfId="1" builtinId="3"/>
    <cellStyle name="Ezres [0] 2" xfId="3"/>
    <cellStyle name="Ezres 2" xfId="4"/>
    <cellStyle name="Ezres 2 2" xfId="5"/>
    <cellStyle name="Ezres 2 2 2" xfId="6"/>
    <cellStyle name="Ezres 2 3" xfId="7"/>
    <cellStyle name="Ezres 2 4" xfId="8"/>
    <cellStyle name="Ezres 3" xfId="9"/>
    <cellStyle name="Ezres 3 2" xfId="10"/>
    <cellStyle name="Hiperhivatkozás" xfId="11"/>
    <cellStyle name="Már látott hiperhivatkozás" xfId="12"/>
    <cellStyle name="Normál" xfId="0" builtinId="0"/>
    <cellStyle name="Normál 2" xfId="13"/>
    <cellStyle name="Normál 2 2" xfId="14"/>
    <cellStyle name="Normál 2 3" xfId="15"/>
    <cellStyle name="Normál 2 4" xfId="16"/>
    <cellStyle name="Normál 2 5" xfId="17"/>
    <cellStyle name="Normál 3" xfId="18"/>
    <cellStyle name="Normál 3 2" xfId="2"/>
    <cellStyle name="Normál 3 3" xfId="19"/>
    <cellStyle name="Normál 4" xfId="20"/>
    <cellStyle name="Normál 4 2" xfId="21"/>
    <cellStyle name="Normál 5" xfId="22"/>
    <cellStyle name="Normál 6" xfId="23"/>
    <cellStyle name="Normál 7" xfId="24"/>
    <cellStyle name="Normál 8" xfId="25"/>
    <cellStyle name="Normál 9" xfId="26"/>
    <cellStyle name="Százalék 2" xfId="27"/>
    <cellStyle name="Százalék 3" xfId="28"/>
    <cellStyle name="TableStyleLight1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lantoso\Asztal\Munka\El&#337;terjeszt&#233;sek\2014%20&#233;v\Els&#337;%20f&#233;l&#233;v\janu&#225;r%2030\K&#246;lts&#233;gvet&#233;s%202014%20els&#337;%20olvasat\Test&#252;leti%20&#252;l&#233;sre%20k&#246;nyvvizsg&#225;l&#243;%20&#225;ltal%20jav&#237;tott\Ktgv_M1_T&#225;bl&#225;k%202014%2001%20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view="pageBreakPreview" zoomScale="118" zoomScaleNormal="100" zoomScaleSheetLayoutView="118" workbookViewId="0"/>
  </sheetViews>
  <sheetFormatPr defaultRowHeight="15" x14ac:dyDescent="0.25"/>
  <cols>
    <col min="1" max="1" width="44.7109375" customWidth="1"/>
    <col min="2" max="21" width="12.7109375" customWidth="1"/>
    <col min="22" max="22" width="12.28515625" bestFit="1" customWidth="1"/>
  </cols>
  <sheetData>
    <row r="1" spans="1:22" ht="56.25" customHeight="1" x14ac:dyDescent="0.25">
      <c r="A1" s="41" t="s">
        <v>45</v>
      </c>
      <c r="B1" s="94" t="s">
        <v>62</v>
      </c>
      <c r="C1" s="95"/>
      <c r="D1" s="94" t="s">
        <v>63</v>
      </c>
      <c r="E1" s="95"/>
      <c r="F1" s="94" t="s">
        <v>64</v>
      </c>
      <c r="G1" s="95"/>
      <c r="H1" s="94" t="s">
        <v>65</v>
      </c>
      <c r="I1" s="95"/>
      <c r="J1" s="94" t="s">
        <v>66</v>
      </c>
      <c r="K1" s="95"/>
      <c r="L1" s="94" t="s">
        <v>67</v>
      </c>
      <c r="M1" s="95"/>
      <c r="N1" s="94" t="s">
        <v>68</v>
      </c>
      <c r="O1" s="95"/>
      <c r="P1" s="94" t="s">
        <v>69</v>
      </c>
      <c r="Q1" s="95"/>
      <c r="R1" s="94" t="s">
        <v>70</v>
      </c>
      <c r="S1" s="95"/>
      <c r="T1" s="94" t="s">
        <v>11</v>
      </c>
      <c r="U1" s="95"/>
    </row>
    <row r="2" spans="1:22" x14ac:dyDescent="0.25">
      <c r="A2" s="41"/>
      <c r="B2" s="40" t="s">
        <v>71</v>
      </c>
      <c r="C2" s="40" t="s">
        <v>72</v>
      </c>
      <c r="D2" s="40" t="s">
        <v>71</v>
      </c>
      <c r="E2" s="40" t="s">
        <v>72</v>
      </c>
      <c r="F2" s="40" t="s">
        <v>71</v>
      </c>
      <c r="G2" s="40" t="s">
        <v>72</v>
      </c>
      <c r="H2" s="40" t="s">
        <v>71</v>
      </c>
      <c r="I2" s="40" t="s">
        <v>72</v>
      </c>
      <c r="J2" s="40" t="s">
        <v>71</v>
      </c>
      <c r="K2" s="40" t="s">
        <v>72</v>
      </c>
      <c r="L2" s="40" t="s">
        <v>71</v>
      </c>
      <c r="M2" s="40" t="s">
        <v>72</v>
      </c>
      <c r="N2" s="40" t="s">
        <v>71</v>
      </c>
      <c r="O2" s="40" t="s">
        <v>72</v>
      </c>
      <c r="P2" s="40" t="s">
        <v>71</v>
      </c>
      <c r="Q2" s="40" t="s">
        <v>72</v>
      </c>
      <c r="R2" s="40" t="s">
        <v>71</v>
      </c>
      <c r="S2" s="40" t="s">
        <v>72</v>
      </c>
      <c r="T2" s="40" t="s">
        <v>71</v>
      </c>
      <c r="U2" s="40" t="s">
        <v>72</v>
      </c>
    </row>
    <row r="3" spans="1:22" x14ac:dyDescent="0.25">
      <c r="A3" s="42" t="s">
        <v>73</v>
      </c>
      <c r="B3" s="43">
        <v>15110</v>
      </c>
      <c r="C3" s="43">
        <v>68684</v>
      </c>
      <c r="D3" s="43">
        <v>38018</v>
      </c>
      <c r="E3" s="43">
        <v>34583</v>
      </c>
      <c r="F3" s="43">
        <v>1103</v>
      </c>
      <c r="G3" s="43">
        <v>677</v>
      </c>
      <c r="H3" s="43">
        <v>2510</v>
      </c>
      <c r="I3" s="43">
        <v>705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3">
        <f t="shared" ref="T3:T6" si="0">+R3+P3+N3+L3+J3+H3+F3+D3+B3</f>
        <v>56741</v>
      </c>
      <c r="U3" s="43">
        <f t="shared" ref="U3:U6" si="1">+S3+Q3+O3+M3+K3+I3+G3+E3+C3</f>
        <v>104649</v>
      </c>
    </row>
    <row r="4" spans="1:22" x14ac:dyDescent="0.25">
      <c r="A4" s="42" t="s">
        <v>74</v>
      </c>
      <c r="B4" s="43">
        <v>26839328</v>
      </c>
      <c r="C4" s="43">
        <v>26370725</v>
      </c>
      <c r="D4" s="43">
        <v>748489</v>
      </c>
      <c r="E4" s="43">
        <v>763110</v>
      </c>
      <c r="F4" s="43">
        <v>905600</v>
      </c>
      <c r="G4" s="43">
        <v>1274136</v>
      </c>
      <c r="H4" s="43">
        <v>4579471</v>
      </c>
      <c r="I4" s="43">
        <v>4649123</v>
      </c>
      <c r="J4" s="43">
        <v>505581</v>
      </c>
      <c r="K4" s="43">
        <v>505781</v>
      </c>
      <c r="L4" s="43">
        <v>257821</v>
      </c>
      <c r="M4" s="43">
        <v>258165</v>
      </c>
      <c r="N4" s="43">
        <v>45415</v>
      </c>
      <c r="O4" s="43">
        <v>47641</v>
      </c>
      <c r="P4" s="43">
        <v>262616</v>
      </c>
      <c r="Q4" s="43">
        <v>257788</v>
      </c>
      <c r="R4" s="43">
        <v>13074</v>
      </c>
      <c r="S4" s="43">
        <v>7575</v>
      </c>
      <c r="T4" s="43">
        <f t="shared" si="0"/>
        <v>34157395</v>
      </c>
      <c r="U4" s="43">
        <f t="shared" si="1"/>
        <v>34134044</v>
      </c>
    </row>
    <row r="5" spans="1:22" x14ac:dyDescent="0.25">
      <c r="A5" s="42" t="s">
        <v>75</v>
      </c>
      <c r="B5" s="43">
        <v>26200</v>
      </c>
      <c r="C5" s="43">
        <v>39200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>
        <f t="shared" si="0"/>
        <v>26200</v>
      </c>
      <c r="U5" s="43">
        <f t="shared" si="1"/>
        <v>39200</v>
      </c>
    </row>
    <row r="6" spans="1:22" x14ac:dyDescent="0.25">
      <c r="A6" s="44" t="s">
        <v>76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>
        <f t="shared" si="0"/>
        <v>0</v>
      </c>
      <c r="U6" s="43">
        <f t="shared" si="1"/>
        <v>0</v>
      </c>
    </row>
    <row r="7" spans="1:22" x14ac:dyDescent="0.25">
      <c r="A7" s="45" t="s">
        <v>77</v>
      </c>
      <c r="B7" s="46">
        <f t="shared" ref="B7:S7" si="2">SUM(B3:B6)</f>
        <v>26880638</v>
      </c>
      <c r="C7" s="46">
        <f t="shared" si="2"/>
        <v>26478609</v>
      </c>
      <c r="D7" s="46">
        <f t="shared" si="2"/>
        <v>786507</v>
      </c>
      <c r="E7" s="46">
        <f t="shared" si="2"/>
        <v>797693</v>
      </c>
      <c r="F7" s="46">
        <f t="shared" si="2"/>
        <v>906703</v>
      </c>
      <c r="G7" s="46">
        <f t="shared" si="2"/>
        <v>1274813</v>
      </c>
      <c r="H7" s="46">
        <f t="shared" si="2"/>
        <v>4581981</v>
      </c>
      <c r="I7" s="46">
        <f t="shared" si="2"/>
        <v>4649828</v>
      </c>
      <c r="J7" s="46">
        <f t="shared" si="2"/>
        <v>505581</v>
      </c>
      <c r="K7" s="46">
        <f t="shared" si="2"/>
        <v>505781</v>
      </c>
      <c r="L7" s="46">
        <f t="shared" si="2"/>
        <v>257821</v>
      </c>
      <c r="M7" s="46">
        <f t="shared" si="2"/>
        <v>258165</v>
      </c>
      <c r="N7" s="46">
        <f t="shared" si="2"/>
        <v>45415</v>
      </c>
      <c r="O7" s="46">
        <f t="shared" si="2"/>
        <v>47641</v>
      </c>
      <c r="P7" s="46">
        <f t="shared" si="2"/>
        <v>262616</v>
      </c>
      <c r="Q7" s="46">
        <f t="shared" si="2"/>
        <v>257788</v>
      </c>
      <c r="R7" s="46">
        <f t="shared" si="2"/>
        <v>13074</v>
      </c>
      <c r="S7" s="46">
        <f t="shared" si="2"/>
        <v>7575</v>
      </c>
      <c r="T7" s="46">
        <f>+R7+P7+N7+L7+J7+H7+F7+D7+B7</f>
        <v>34240336</v>
      </c>
      <c r="U7" s="46">
        <f>+S7+Q7+O7+M7+K7+I7+G7+E7+C7</f>
        <v>34277893</v>
      </c>
    </row>
    <row r="8" spans="1:22" x14ac:dyDescent="0.25">
      <c r="A8" s="42" t="s">
        <v>78</v>
      </c>
      <c r="B8" s="42"/>
      <c r="C8" s="43">
        <v>0</v>
      </c>
      <c r="D8" s="43"/>
      <c r="E8" s="43"/>
      <c r="F8" s="43"/>
      <c r="G8" s="43"/>
      <c r="H8" s="43">
        <v>10598</v>
      </c>
      <c r="I8" s="43">
        <v>12651</v>
      </c>
      <c r="J8" s="43">
        <v>5836</v>
      </c>
      <c r="K8" s="43">
        <v>12343</v>
      </c>
      <c r="L8" s="43">
        <v>4044</v>
      </c>
      <c r="M8" s="43">
        <v>4731</v>
      </c>
      <c r="N8" s="43">
        <v>2185</v>
      </c>
      <c r="O8" s="43">
        <v>4001</v>
      </c>
      <c r="P8" s="43">
        <v>572</v>
      </c>
      <c r="Q8" s="43">
        <v>738</v>
      </c>
      <c r="R8" s="43"/>
      <c r="S8" s="43"/>
      <c r="T8" s="43">
        <f t="shared" ref="T8:T9" si="3">+R8+P8+N8+L8+J8+H8+F8+D8+B8</f>
        <v>23235</v>
      </c>
      <c r="U8" s="43">
        <f t="shared" ref="U8:U9" si="4">+S8+Q8+O8+M8+K8+I8+G8+E8+C8</f>
        <v>34464</v>
      </c>
    </row>
    <row r="9" spans="1:22" x14ac:dyDescent="0.25">
      <c r="A9" s="42" t="s">
        <v>102</v>
      </c>
      <c r="B9" s="43">
        <v>4757910</v>
      </c>
      <c r="C9" s="43">
        <v>0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>
        <f t="shared" si="3"/>
        <v>4757910</v>
      </c>
      <c r="U9" s="43">
        <f t="shared" si="4"/>
        <v>0</v>
      </c>
    </row>
    <row r="10" spans="1:22" x14ac:dyDescent="0.25">
      <c r="A10" s="45" t="s">
        <v>79</v>
      </c>
      <c r="B10" s="46">
        <f>+B8+B9</f>
        <v>4757910</v>
      </c>
      <c r="C10" s="46">
        <f>+C8</f>
        <v>0</v>
      </c>
      <c r="D10" s="46"/>
      <c r="E10" s="46">
        <f t="shared" ref="E10:S10" si="5">+E8</f>
        <v>0</v>
      </c>
      <c r="F10" s="46">
        <f t="shared" si="5"/>
        <v>0</v>
      </c>
      <c r="G10" s="46">
        <f t="shared" si="5"/>
        <v>0</v>
      </c>
      <c r="H10" s="46">
        <f t="shared" si="5"/>
        <v>10598</v>
      </c>
      <c r="I10" s="46">
        <f t="shared" si="5"/>
        <v>12651</v>
      </c>
      <c r="J10" s="46">
        <f t="shared" si="5"/>
        <v>5836</v>
      </c>
      <c r="K10" s="46">
        <f t="shared" si="5"/>
        <v>12343</v>
      </c>
      <c r="L10" s="46">
        <f t="shared" si="5"/>
        <v>4044</v>
      </c>
      <c r="M10" s="46">
        <f t="shared" si="5"/>
        <v>4731</v>
      </c>
      <c r="N10" s="46">
        <f t="shared" si="5"/>
        <v>2185</v>
      </c>
      <c r="O10" s="46">
        <f t="shared" si="5"/>
        <v>4001</v>
      </c>
      <c r="P10" s="46">
        <f t="shared" si="5"/>
        <v>572</v>
      </c>
      <c r="Q10" s="46">
        <f t="shared" si="5"/>
        <v>738</v>
      </c>
      <c r="R10" s="46">
        <f t="shared" si="5"/>
        <v>0</v>
      </c>
      <c r="S10" s="46">
        <f t="shared" si="5"/>
        <v>0</v>
      </c>
      <c r="T10" s="46">
        <f>+R10+P10+N10+L10+J10+H10+F10+D10+B10</f>
        <v>4781145</v>
      </c>
      <c r="U10" s="46">
        <f>+S10+Q10+O10+M10+K10+I10+G10+E10+C10</f>
        <v>34464</v>
      </c>
    </row>
    <row r="11" spans="1:22" x14ac:dyDescent="0.25">
      <c r="A11" s="42" t="s">
        <v>80</v>
      </c>
      <c r="B11" s="43">
        <v>40000</v>
      </c>
      <c r="C11" s="43">
        <v>2540000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>
        <f t="shared" ref="T11:T13" si="6">+R11+P11+N11+L11+J11+H11+F11+D11+B11</f>
        <v>40000</v>
      </c>
      <c r="U11" s="43">
        <f t="shared" ref="U11:U13" si="7">+S11+Q11+O11+M11+K11+I11+G11+E11+C11</f>
        <v>2540000</v>
      </c>
    </row>
    <row r="12" spans="1:22" x14ac:dyDescent="0.25">
      <c r="A12" s="42" t="s">
        <v>81</v>
      </c>
      <c r="B12" s="43">
        <v>4814</v>
      </c>
      <c r="C12" s="43">
        <f>642+1</f>
        <v>643</v>
      </c>
      <c r="D12" s="43">
        <v>0</v>
      </c>
      <c r="E12" s="43">
        <v>649</v>
      </c>
      <c r="F12" s="43">
        <v>241</v>
      </c>
      <c r="G12" s="43">
        <v>79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>
        <v>85</v>
      </c>
      <c r="S12" s="43"/>
      <c r="T12" s="43">
        <f t="shared" si="6"/>
        <v>5140</v>
      </c>
      <c r="U12" s="43">
        <f t="shared" si="7"/>
        <v>1371</v>
      </c>
    </row>
    <row r="13" spans="1:22" x14ac:dyDescent="0.25">
      <c r="A13" s="42" t="s">
        <v>82</v>
      </c>
      <c r="B13" s="43">
        <v>4624243</v>
      </c>
      <c r="C13" s="43">
        <v>4587284</v>
      </c>
      <c r="D13" s="43">
        <v>623705</v>
      </c>
      <c r="E13" s="43">
        <v>405859</v>
      </c>
      <c r="F13" s="43">
        <v>790530</v>
      </c>
      <c r="G13" s="43">
        <v>150890</v>
      </c>
      <c r="H13" s="43">
        <v>481455</v>
      </c>
      <c r="I13" s="43">
        <v>1867106</v>
      </c>
      <c r="J13" s="43">
        <v>119302</v>
      </c>
      <c r="K13" s="43">
        <v>175867</v>
      </c>
      <c r="L13" s="43">
        <v>35795</v>
      </c>
      <c r="M13" s="43">
        <v>60086</v>
      </c>
      <c r="N13" s="43">
        <v>37185</v>
      </c>
      <c r="O13" s="43">
        <v>99386</v>
      </c>
      <c r="P13" s="43">
        <v>11596</v>
      </c>
      <c r="Q13" s="43">
        <v>27896</v>
      </c>
      <c r="R13" s="43">
        <v>16141</v>
      </c>
      <c r="S13" s="43">
        <v>21634</v>
      </c>
      <c r="T13" s="43">
        <f t="shared" si="6"/>
        <v>6739952</v>
      </c>
      <c r="U13" s="43">
        <f t="shared" si="7"/>
        <v>7396008</v>
      </c>
    </row>
    <row r="14" spans="1:22" x14ac:dyDescent="0.25">
      <c r="A14" s="42" t="s">
        <v>83</v>
      </c>
      <c r="B14" s="42"/>
      <c r="C14" s="43">
        <v>395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>
        <f t="shared" ref="U14" si="8">SUM(C14:S14)</f>
        <v>395</v>
      </c>
    </row>
    <row r="15" spans="1:22" x14ac:dyDescent="0.25">
      <c r="A15" s="45" t="s">
        <v>84</v>
      </c>
      <c r="B15" s="46">
        <f t="shared" ref="B15:S15" si="9">SUM(B11:B14)</f>
        <v>4669057</v>
      </c>
      <c r="C15" s="46">
        <f t="shared" si="9"/>
        <v>7128322</v>
      </c>
      <c r="D15" s="46">
        <f t="shared" si="9"/>
        <v>623705</v>
      </c>
      <c r="E15" s="46">
        <f t="shared" si="9"/>
        <v>406508</v>
      </c>
      <c r="F15" s="46">
        <f t="shared" si="9"/>
        <v>790771</v>
      </c>
      <c r="G15" s="46">
        <f t="shared" si="9"/>
        <v>150969</v>
      </c>
      <c r="H15" s="46">
        <f t="shared" si="9"/>
        <v>481455</v>
      </c>
      <c r="I15" s="46">
        <f t="shared" si="9"/>
        <v>1867106</v>
      </c>
      <c r="J15" s="46">
        <f t="shared" si="9"/>
        <v>119302</v>
      </c>
      <c r="K15" s="46">
        <f t="shared" si="9"/>
        <v>175867</v>
      </c>
      <c r="L15" s="46">
        <f t="shared" si="9"/>
        <v>35795</v>
      </c>
      <c r="M15" s="46">
        <f t="shared" si="9"/>
        <v>60086</v>
      </c>
      <c r="N15" s="46">
        <f t="shared" si="9"/>
        <v>37185</v>
      </c>
      <c r="O15" s="46">
        <f t="shared" si="9"/>
        <v>99386</v>
      </c>
      <c r="P15" s="46">
        <f t="shared" si="9"/>
        <v>11596</v>
      </c>
      <c r="Q15" s="46">
        <f t="shared" si="9"/>
        <v>27896</v>
      </c>
      <c r="R15" s="46">
        <f t="shared" si="9"/>
        <v>16226</v>
      </c>
      <c r="S15" s="46">
        <f t="shared" si="9"/>
        <v>21634</v>
      </c>
      <c r="T15" s="46">
        <f>+R15+P15+N15+L15+J15+H15+F15+D15+B15</f>
        <v>6785092</v>
      </c>
      <c r="U15" s="46">
        <f>+S15+Q15+O15+M15+K15+I15+G15+E15+C15</f>
        <v>9937774</v>
      </c>
      <c r="V15" s="67"/>
    </row>
    <row r="16" spans="1:22" x14ac:dyDescent="0.25">
      <c r="A16" s="42" t="s">
        <v>85</v>
      </c>
      <c r="B16" s="43">
        <v>326324</v>
      </c>
      <c r="C16" s="43">
        <v>288757</v>
      </c>
      <c r="D16" s="43">
        <v>909</v>
      </c>
      <c r="E16" s="43">
        <v>907</v>
      </c>
      <c r="F16" s="43">
        <v>2354</v>
      </c>
      <c r="G16" s="43">
        <v>2018</v>
      </c>
      <c r="H16" s="43">
        <v>505723</v>
      </c>
      <c r="I16" s="43">
        <f>-1+144314</f>
        <v>144313</v>
      </c>
      <c r="J16" s="43"/>
      <c r="K16" s="43"/>
      <c r="L16" s="43"/>
      <c r="M16" s="43"/>
      <c r="N16" s="43">
        <v>85</v>
      </c>
      <c r="O16" s="43">
        <v>26</v>
      </c>
      <c r="P16" s="43"/>
      <c r="Q16" s="43">
        <v>24</v>
      </c>
      <c r="R16" s="43">
        <v>785</v>
      </c>
      <c r="S16" s="43">
        <v>193</v>
      </c>
      <c r="T16" s="43">
        <f t="shared" ref="T16:T18" si="10">+R16+P16+N16+L16+J16+H16+F16+D16+B16</f>
        <v>836180</v>
      </c>
      <c r="U16" s="43">
        <f t="shared" ref="U16:U18" si="11">+S16+Q16+O16+M16+K16+I16+G16+E16+C16</f>
        <v>436238</v>
      </c>
    </row>
    <row r="17" spans="1:21" x14ac:dyDescent="0.25">
      <c r="A17" s="42" t="s">
        <v>86</v>
      </c>
      <c r="B17" s="43">
        <v>1190703</v>
      </c>
      <c r="C17" s="43">
        <v>1186340</v>
      </c>
      <c r="D17" s="43"/>
      <c r="E17" s="43"/>
      <c r="F17" s="43">
        <v>0</v>
      </c>
      <c r="G17" s="43">
        <v>1</v>
      </c>
      <c r="H17" s="43"/>
      <c r="I17" s="43"/>
      <c r="J17" s="43"/>
      <c r="K17" s="43"/>
      <c r="L17" s="43"/>
      <c r="M17" s="43"/>
      <c r="N17" s="43">
        <f>1+271</f>
        <v>272</v>
      </c>
      <c r="O17" s="43">
        <v>0</v>
      </c>
      <c r="P17" s="43"/>
      <c r="Q17" s="43"/>
      <c r="R17" s="43"/>
      <c r="S17" s="43"/>
      <c r="T17" s="43">
        <f t="shared" si="10"/>
        <v>1190975</v>
      </c>
      <c r="U17" s="43">
        <f t="shared" si="11"/>
        <v>1186341</v>
      </c>
    </row>
    <row r="18" spans="1:21" x14ac:dyDescent="0.25">
      <c r="A18" s="42" t="s">
        <v>87</v>
      </c>
      <c r="B18" s="43">
        <v>1043</v>
      </c>
      <c r="C18" s="43">
        <f>-1+9194</f>
        <v>9193</v>
      </c>
      <c r="D18" s="43">
        <v>2570</v>
      </c>
      <c r="E18" s="43">
        <f>517</f>
        <v>517</v>
      </c>
      <c r="F18" s="43">
        <v>60</v>
      </c>
      <c r="G18" s="43">
        <v>0</v>
      </c>
      <c r="H18" s="43">
        <v>0</v>
      </c>
      <c r="I18" s="43">
        <v>160</v>
      </c>
      <c r="J18" s="43">
        <v>0</v>
      </c>
      <c r="K18" s="43">
        <v>297</v>
      </c>
      <c r="L18" s="43">
        <v>0</v>
      </c>
      <c r="M18" s="43">
        <v>30</v>
      </c>
      <c r="N18" s="43">
        <v>278</v>
      </c>
      <c r="O18" s="43">
        <v>0</v>
      </c>
      <c r="P18" s="43"/>
      <c r="Q18" s="43"/>
      <c r="R18" s="43"/>
      <c r="S18" s="43"/>
      <c r="T18" s="43">
        <f t="shared" si="10"/>
        <v>3951</v>
      </c>
      <c r="U18" s="43">
        <f t="shared" si="11"/>
        <v>10197</v>
      </c>
    </row>
    <row r="19" spans="1:21" x14ac:dyDescent="0.25">
      <c r="A19" s="45" t="s">
        <v>88</v>
      </c>
      <c r="B19" s="46">
        <f t="shared" ref="B19:S19" si="12">SUM(B16:B18)</f>
        <v>1518070</v>
      </c>
      <c r="C19" s="46">
        <f t="shared" si="12"/>
        <v>1484290</v>
      </c>
      <c r="D19" s="46">
        <f t="shared" si="12"/>
        <v>3479</v>
      </c>
      <c r="E19" s="46">
        <f t="shared" si="12"/>
        <v>1424</v>
      </c>
      <c r="F19" s="46">
        <f t="shared" si="12"/>
        <v>2414</v>
      </c>
      <c r="G19" s="46">
        <f t="shared" si="12"/>
        <v>2019</v>
      </c>
      <c r="H19" s="46">
        <f t="shared" si="12"/>
        <v>505723</v>
      </c>
      <c r="I19" s="46">
        <f t="shared" si="12"/>
        <v>144473</v>
      </c>
      <c r="J19" s="46">
        <f t="shared" si="12"/>
        <v>0</v>
      </c>
      <c r="K19" s="46">
        <f t="shared" si="12"/>
        <v>297</v>
      </c>
      <c r="L19" s="46">
        <f t="shared" si="12"/>
        <v>0</v>
      </c>
      <c r="M19" s="46">
        <f t="shared" si="12"/>
        <v>30</v>
      </c>
      <c r="N19" s="46">
        <f t="shared" si="12"/>
        <v>635</v>
      </c>
      <c r="O19" s="46">
        <f t="shared" si="12"/>
        <v>26</v>
      </c>
      <c r="P19" s="46">
        <f t="shared" si="12"/>
        <v>0</v>
      </c>
      <c r="Q19" s="46">
        <f t="shared" si="12"/>
        <v>24</v>
      </c>
      <c r="R19" s="46">
        <f t="shared" si="12"/>
        <v>785</v>
      </c>
      <c r="S19" s="46">
        <f t="shared" si="12"/>
        <v>193</v>
      </c>
      <c r="T19" s="46">
        <f>+R19+P19+N19+L19+J19+H19+F19+D19+B19</f>
        <v>2031106</v>
      </c>
      <c r="U19" s="46">
        <f>+S19+Q19+O19+M19+K19+I19+G19+E19+C19</f>
        <v>1632776</v>
      </c>
    </row>
    <row r="20" spans="1:21" ht="26.25" x14ac:dyDescent="0.25">
      <c r="A20" s="42" t="s">
        <v>89</v>
      </c>
      <c r="B20" s="43">
        <v>63061</v>
      </c>
      <c r="C20" s="43">
        <v>0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>
        <v>446</v>
      </c>
      <c r="S20" s="43">
        <f>-1+2516</f>
        <v>2515</v>
      </c>
      <c r="T20" s="43">
        <f t="shared" ref="T20:T22" si="13">+R20+P20+N20+L20+J20+H20+F20+D20+B20</f>
        <v>63507</v>
      </c>
      <c r="U20" s="43">
        <f t="shared" ref="U20:U22" si="14">+S20+Q20+O20+M20+K20+I20+G20+E20+C20</f>
        <v>2515</v>
      </c>
    </row>
    <row r="21" spans="1:21" x14ac:dyDescent="0.25">
      <c r="A21" s="42" t="s">
        <v>90</v>
      </c>
      <c r="B21" s="42">
        <v>0</v>
      </c>
      <c r="C21" s="43">
        <v>-13316</v>
      </c>
      <c r="D21" s="43">
        <v>-1722</v>
      </c>
      <c r="E21" s="43">
        <v>35</v>
      </c>
      <c r="F21" s="43">
        <v>-9</v>
      </c>
      <c r="G21" s="43">
        <v>-165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>
        <v>-432</v>
      </c>
      <c r="S21" s="43">
        <v>0</v>
      </c>
      <c r="T21" s="43">
        <f t="shared" si="13"/>
        <v>-2163</v>
      </c>
      <c r="U21" s="43">
        <f t="shared" si="14"/>
        <v>-13446</v>
      </c>
    </row>
    <row r="22" spans="1:21" x14ac:dyDescent="0.25">
      <c r="A22" s="42" t="s">
        <v>91</v>
      </c>
      <c r="B22" s="43">
        <v>7155</v>
      </c>
      <c r="C22" s="43">
        <v>0</v>
      </c>
      <c r="D22" s="43"/>
      <c r="E22" s="43"/>
      <c r="F22" s="43">
        <f>-1+4427</f>
        <v>4426</v>
      </c>
      <c r="G22" s="43">
        <v>22301</v>
      </c>
      <c r="H22" s="43">
        <f>1+2465</f>
        <v>2466</v>
      </c>
      <c r="I22" s="43">
        <v>2578</v>
      </c>
      <c r="J22" s="43">
        <v>700</v>
      </c>
      <c r="K22" s="43">
        <v>1982</v>
      </c>
      <c r="L22" s="43">
        <v>231</v>
      </c>
      <c r="M22" s="43">
        <v>322</v>
      </c>
      <c r="N22" s="43">
        <v>220</v>
      </c>
      <c r="O22" s="43">
        <v>405</v>
      </c>
      <c r="P22" s="43">
        <v>146</v>
      </c>
      <c r="Q22" s="43">
        <v>119</v>
      </c>
      <c r="R22" s="43"/>
      <c r="S22" s="43"/>
      <c r="T22" s="43">
        <f t="shared" si="13"/>
        <v>15344</v>
      </c>
      <c r="U22" s="43">
        <f t="shared" si="14"/>
        <v>27707</v>
      </c>
    </row>
    <row r="23" spans="1:21" x14ac:dyDescent="0.25">
      <c r="A23" s="45" t="s">
        <v>92</v>
      </c>
      <c r="B23" s="46">
        <f t="shared" ref="B23:S23" si="15">SUM(B20:B22)</f>
        <v>70216</v>
      </c>
      <c r="C23" s="46">
        <f t="shared" si="15"/>
        <v>-13316</v>
      </c>
      <c r="D23" s="46">
        <f t="shared" si="15"/>
        <v>-1722</v>
      </c>
      <c r="E23" s="46">
        <f t="shared" si="15"/>
        <v>35</v>
      </c>
      <c r="F23" s="46">
        <f t="shared" si="15"/>
        <v>4417</v>
      </c>
      <c r="G23" s="46">
        <f t="shared" si="15"/>
        <v>22136</v>
      </c>
      <c r="H23" s="46">
        <f t="shared" si="15"/>
        <v>2466</v>
      </c>
      <c r="I23" s="46">
        <f t="shared" si="15"/>
        <v>2578</v>
      </c>
      <c r="J23" s="46">
        <f t="shared" si="15"/>
        <v>700</v>
      </c>
      <c r="K23" s="46">
        <f t="shared" si="15"/>
        <v>1982</v>
      </c>
      <c r="L23" s="46">
        <f t="shared" si="15"/>
        <v>231</v>
      </c>
      <c r="M23" s="46">
        <f t="shared" si="15"/>
        <v>322</v>
      </c>
      <c r="N23" s="46">
        <f t="shared" si="15"/>
        <v>220</v>
      </c>
      <c r="O23" s="46">
        <f t="shared" si="15"/>
        <v>405</v>
      </c>
      <c r="P23" s="46">
        <f t="shared" si="15"/>
        <v>146</v>
      </c>
      <c r="Q23" s="46">
        <f t="shared" si="15"/>
        <v>119</v>
      </c>
      <c r="R23" s="46">
        <f t="shared" si="15"/>
        <v>14</v>
      </c>
      <c r="S23" s="46">
        <f t="shared" si="15"/>
        <v>2515</v>
      </c>
      <c r="T23" s="46">
        <f t="shared" ref="T23:T32" si="16">+R23+P23+N23+L23+J23+H23+F23+D23+B23</f>
        <v>76688</v>
      </c>
      <c r="U23" s="46">
        <f t="shared" ref="U23:U32" si="17">+S23+Q23+O23+M23+K23+I23+G23+E23+C23</f>
        <v>16776</v>
      </c>
    </row>
    <row r="24" spans="1:21" x14ac:dyDescent="0.25">
      <c r="A24" s="45" t="s">
        <v>93</v>
      </c>
      <c r="B24" s="46">
        <v>1093</v>
      </c>
      <c r="C24" s="46">
        <v>0</v>
      </c>
      <c r="D24" s="46">
        <v>4282</v>
      </c>
      <c r="E24" s="46">
        <v>1453</v>
      </c>
      <c r="F24" s="46"/>
      <c r="G24" s="46"/>
      <c r="H24" s="46">
        <v>6038</v>
      </c>
      <c r="I24" s="46">
        <v>868</v>
      </c>
      <c r="J24" s="46">
        <v>400</v>
      </c>
      <c r="K24" s="46">
        <v>395</v>
      </c>
      <c r="L24" s="46">
        <v>207</v>
      </c>
      <c r="M24" s="46">
        <v>47</v>
      </c>
      <c r="N24" s="46">
        <v>1161</v>
      </c>
      <c r="O24" s="46">
        <v>859</v>
      </c>
      <c r="P24" s="46">
        <v>5</v>
      </c>
      <c r="Q24" s="46">
        <v>6</v>
      </c>
      <c r="R24" s="46">
        <v>10</v>
      </c>
      <c r="S24" s="46">
        <v>0</v>
      </c>
      <c r="T24" s="46">
        <f t="shared" si="16"/>
        <v>13196</v>
      </c>
      <c r="U24" s="46">
        <f t="shared" si="17"/>
        <v>3628</v>
      </c>
    </row>
    <row r="25" spans="1:21" x14ac:dyDescent="0.25">
      <c r="A25" s="47" t="s">
        <v>94</v>
      </c>
      <c r="B25" s="48">
        <f t="shared" ref="B25:S25" si="18">+B7+B10+B15+B19+B23+B24</f>
        <v>37896984</v>
      </c>
      <c r="C25" s="48">
        <f t="shared" si="18"/>
        <v>35077905</v>
      </c>
      <c r="D25" s="48">
        <f t="shared" si="18"/>
        <v>1416251</v>
      </c>
      <c r="E25" s="48">
        <f t="shared" si="18"/>
        <v>1207113</v>
      </c>
      <c r="F25" s="48">
        <f t="shared" si="18"/>
        <v>1704305</v>
      </c>
      <c r="G25" s="48">
        <f t="shared" si="18"/>
        <v>1449937</v>
      </c>
      <c r="H25" s="48">
        <f t="shared" si="18"/>
        <v>5588261</v>
      </c>
      <c r="I25" s="48">
        <f t="shared" si="18"/>
        <v>6677504</v>
      </c>
      <c r="J25" s="48">
        <f t="shared" si="18"/>
        <v>631819</v>
      </c>
      <c r="K25" s="48">
        <f t="shared" si="18"/>
        <v>696665</v>
      </c>
      <c r="L25" s="48">
        <f t="shared" si="18"/>
        <v>298098</v>
      </c>
      <c r="M25" s="48">
        <f t="shared" si="18"/>
        <v>323381</v>
      </c>
      <c r="N25" s="48">
        <f t="shared" si="18"/>
        <v>86801</v>
      </c>
      <c r="O25" s="48">
        <f t="shared" si="18"/>
        <v>152318</v>
      </c>
      <c r="P25" s="48">
        <f t="shared" si="18"/>
        <v>274935</v>
      </c>
      <c r="Q25" s="48">
        <f t="shared" si="18"/>
        <v>286571</v>
      </c>
      <c r="R25" s="48">
        <f t="shared" si="18"/>
        <v>30109</v>
      </c>
      <c r="S25" s="48">
        <f t="shared" si="18"/>
        <v>31917</v>
      </c>
      <c r="T25" s="48">
        <f t="shared" si="16"/>
        <v>47927563</v>
      </c>
      <c r="U25" s="48">
        <f t="shared" si="17"/>
        <v>45903311</v>
      </c>
    </row>
    <row r="26" spans="1:21" x14ac:dyDescent="0.25">
      <c r="A26" s="45" t="s">
        <v>95</v>
      </c>
      <c r="B26" s="46">
        <v>35230399</v>
      </c>
      <c r="C26" s="46">
        <v>32963488</v>
      </c>
      <c r="D26" s="46">
        <v>1397526</v>
      </c>
      <c r="E26" s="46">
        <v>1146005</v>
      </c>
      <c r="F26" s="46">
        <v>1092779</v>
      </c>
      <c r="G26" s="46">
        <f>844709+1</f>
        <v>844710</v>
      </c>
      <c r="H26" s="46">
        <v>5414711</v>
      </c>
      <c r="I26" s="46">
        <v>6425346</v>
      </c>
      <c r="J26" s="46">
        <v>582749</v>
      </c>
      <c r="K26" s="46">
        <v>641120</v>
      </c>
      <c r="L26" s="46">
        <v>278755</v>
      </c>
      <c r="M26" s="46">
        <v>300189</v>
      </c>
      <c r="N26" s="46">
        <v>64508</v>
      </c>
      <c r="O26" s="46">
        <v>123800</v>
      </c>
      <c r="P26" s="46">
        <v>128360</v>
      </c>
      <c r="Q26" s="46">
        <v>143350</v>
      </c>
      <c r="R26" s="46">
        <v>29039</v>
      </c>
      <c r="S26" s="46">
        <v>30645</v>
      </c>
      <c r="T26" s="46">
        <f t="shared" si="16"/>
        <v>44218826</v>
      </c>
      <c r="U26" s="46">
        <f t="shared" si="17"/>
        <v>42618653</v>
      </c>
    </row>
    <row r="27" spans="1:21" x14ac:dyDescent="0.25">
      <c r="A27" s="42" t="s">
        <v>96</v>
      </c>
      <c r="B27" s="43">
        <v>417532</v>
      </c>
      <c r="C27" s="43">
        <v>30337</v>
      </c>
      <c r="D27" s="43">
        <v>13049</v>
      </c>
      <c r="E27" s="43">
        <v>831</v>
      </c>
      <c r="F27" s="43">
        <v>480</v>
      </c>
      <c r="G27" s="43">
        <v>898</v>
      </c>
      <c r="H27" s="43">
        <v>36263</v>
      </c>
      <c r="I27" s="43">
        <v>99495</v>
      </c>
      <c r="J27" s="43">
        <v>216</v>
      </c>
      <c r="K27" s="43">
        <v>1592</v>
      </c>
      <c r="L27" s="43">
        <v>101</v>
      </c>
      <c r="M27" s="43">
        <v>69</v>
      </c>
      <c r="N27" s="43">
        <v>263</v>
      </c>
      <c r="O27" s="43">
        <v>371</v>
      </c>
      <c r="P27" s="43">
        <v>15</v>
      </c>
      <c r="Q27" s="43">
        <v>432</v>
      </c>
      <c r="R27" s="43">
        <f>1+771</f>
        <v>772</v>
      </c>
      <c r="S27" s="43">
        <v>1272</v>
      </c>
      <c r="T27" s="43">
        <f t="shared" si="16"/>
        <v>468691</v>
      </c>
      <c r="U27" s="43">
        <f t="shared" si="17"/>
        <v>135297</v>
      </c>
    </row>
    <row r="28" spans="1:21" ht="26.25" x14ac:dyDescent="0.25">
      <c r="A28" s="42" t="s">
        <v>97</v>
      </c>
      <c r="B28" s="43">
        <v>52604</v>
      </c>
      <c r="C28" s="43">
        <v>51376</v>
      </c>
      <c r="D28" s="43">
        <v>2194</v>
      </c>
      <c r="E28" s="43">
        <f>871</f>
        <v>871</v>
      </c>
      <c r="F28" s="43">
        <v>1165</v>
      </c>
      <c r="G28" s="43">
        <v>0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>
        <f t="shared" si="16"/>
        <v>55963</v>
      </c>
      <c r="U28" s="43">
        <f t="shared" si="17"/>
        <v>52247</v>
      </c>
    </row>
    <row r="29" spans="1:21" x14ac:dyDescent="0.25">
      <c r="A29" s="42" t="s">
        <v>98</v>
      </c>
      <c r="B29" s="43">
        <v>209104</v>
      </c>
      <c r="C29" s="43">
        <v>120624</v>
      </c>
      <c r="D29" s="43">
        <v>0</v>
      </c>
      <c r="E29" s="43">
        <v>343</v>
      </c>
      <c r="F29" s="43"/>
      <c r="G29" s="43"/>
      <c r="H29" s="43">
        <v>80383</v>
      </c>
      <c r="I29" s="43">
        <v>78464</v>
      </c>
      <c r="J29" s="43">
        <v>51</v>
      </c>
      <c r="K29" s="43">
        <v>0</v>
      </c>
      <c r="L29" s="43">
        <v>156</v>
      </c>
      <c r="M29" s="43">
        <v>68</v>
      </c>
      <c r="N29" s="43">
        <v>44</v>
      </c>
      <c r="O29" s="43">
        <v>39</v>
      </c>
      <c r="P29" s="43"/>
      <c r="Q29" s="43"/>
      <c r="R29" s="43"/>
      <c r="S29" s="43"/>
      <c r="T29" s="43">
        <f t="shared" si="16"/>
        <v>289738</v>
      </c>
      <c r="U29" s="43">
        <f t="shared" si="17"/>
        <v>199538</v>
      </c>
    </row>
    <row r="30" spans="1:21" x14ac:dyDescent="0.25">
      <c r="A30" s="45" t="s">
        <v>99</v>
      </c>
      <c r="B30" s="46">
        <f t="shared" ref="B30:S30" si="19">SUM(B27:B29)</f>
        <v>679240</v>
      </c>
      <c r="C30" s="46">
        <f t="shared" si="19"/>
        <v>202337</v>
      </c>
      <c r="D30" s="46">
        <f t="shared" si="19"/>
        <v>15243</v>
      </c>
      <c r="E30" s="46">
        <f t="shared" si="19"/>
        <v>2045</v>
      </c>
      <c r="F30" s="46">
        <f t="shared" si="19"/>
        <v>1645</v>
      </c>
      <c r="G30" s="46">
        <f t="shared" si="19"/>
        <v>898</v>
      </c>
      <c r="H30" s="46">
        <f t="shared" si="19"/>
        <v>116646</v>
      </c>
      <c r="I30" s="46">
        <f t="shared" si="19"/>
        <v>177959</v>
      </c>
      <c r="J30" s="46">
        <f t="shared" si="19"/>
        <v>267</v>
      </c>
      <c r="K30" s="46">
        <f t="shared" si="19"/>
        <v>1592</v>
      </c>
      <c r="L30" s="46">
        <f t="shared" si="19"/>
        <v>257</v>
      </c>
      <c r="M30" s="46">
        <f t="shared" si="19"/>
        <v>137</v>
      </c>
      <c r="N30" s="46">
        <f t="shared" si="19"/>
        <v>307</v>
      </c>
      <c r="O30" s="46">
        <f t="shared" si="19"/>
        <v>410</v>
      </c>
      <c r="P30" s="46">
        <f t="shared" si="19"/>
        <v>15</v>
      </c>
      <c r="Q30" s="46">
        <f t="shared" si="19"/>
        <v>432</v>
      </c>
      <c r="R30" s="46">
        <f t="shared" si="19"/>
        <v>772</v>
      </c>
      <c r="S30" s="46">
        <f t="shared" si="19"/>
        <v>1272</v>
      </c>
      <c r="T30" s="46">
        <f t="shared" si="16"/>
        <v>814392</v>
      </c>
      <c r="U30" s="46">
        <f t="shared" si="17"/>
        <v>387082</v>
      </c>
    </row>
    <row r="31" spans="1:21" x14ac:dyDescent="0.25">
      <c r="A31" s="45" t="s">
        <v>100</v>
      </c>
      <c r="B31" s="46">
        <v>1987345</v>
      </c>
      <c r="C31" s="46">
        <v>1912080</v>
      </c>
      <c r="D31" s="46">
        <f>3483-1</f>
        <v>3482</v>
      </c>
      <c r="E31" s="46">
        <v>59063</v>
      </c>
      <c r="F31" s="46">
        <v>609881</v>
      </c>
      <c r="G31" s="46">
        <v>604329</v>
      </c>
      <c r="H31" s="46">
        <v>56904</v>
      </c>
      <c r="I31" s="46">
        <v>74199</v>
      </c>
      <c r="J31" s="46">
        <v>48803</v>
      </c>
      <c r="K31" s="46">
        <v>53953</v>
      </c>
      <c r="L31" s="46">
        <v>19086</v>
      </c>
      <c r="M31" s="46">
        <v>23055</v>
      </c>
      <c r="N31" s="46">
        <v>21986</v>
      </c>
      <c r="O31" s="46">
        <v>28108</v>
      </c>
      <c r="P31" s="46">
        <v>146560</v>
      </c>
      <c r="Q31" s="46">
        <v>142789</v>
      </c>
      <c r="R31" s="46">
        <v>298</v>
      </c>
      <c r="S31" s="46">
        <v>0</v>
      </c>
      <c r="T31" s="46">
        <f t="shared" si="16"/>
        <v>2894345</v>
      </c>
      <c r="U31" s="46">
        <f t="shared" si="17"/>
        <v>2897576</v>
      </c>
    </row>
    <row r="32" spans="1:21" x14ac:dyDescent="0.25">
      <c r="A32" s="47" t="s">
        <v>101</v>
      </c>
      <c r="B32" s="48">
        <f t="shared" ref="B32:S32" si="20">+B26+B30+B31</f>
        <v>37896984</v>
      </c>
      <c r="C32" s="48">
        <f t="shared" si="20"/>
        <v>35077905</v>
      </c>
      <c r="D32" s="48">
        <f t="shared" si="20"/>
        <v>1416251</v>
      </c>
      <c r="E32" s="48">
        <f t="shared" si="20"/>
        <v>1207113</v>
      </c>
      <c r="F32" s="48">
        <f t="shared" si="20"/>
        <v>1704305</v>
      </c>
      <c r="G32" s="48">
        <f t="shared" si="20"/>
        <v>1449937</v>
      </c>
      <c r="H32" s="48">
        <f t="shared" si="20"/>
        <v>5588261</v>
      </c>
      <c r="I32" s="48">
        <f t="shared" si="20"/>
        <v>6677504</v>
      </c>
      <c r="J32" s="48">
        <f t="shared" si="20"/>
        <v>631819</v>
      </c>
      <c r="K32" s="48">
        <f t="shared" si="20"/>
        <v>696665</v>
      </c>
      <c r="L32" s="48">
        <f t="shared" si="20"/>
        <v>298098</v>
      </c>
      <c r="M32" s="48">
        <f t="shared" si="20"/>
        <v>323381</v>
      </c>
      <c r="N32" s="48">
        <f t="shared" si="20"/>
        <v>86801</v>
      </c>
      <c r="O32" s="48">
        <f t="shared" si="20"/>
        <v>152318</v>
      </c>
      <c r="P32" s="48">
        <f t="shared" si="20"/>
        <v>274935</v>
      </c>
      <c r="Q32" s="48">
        <f t="shared" si="20"/>
        <v>286571</v>
      </c>
      <c r="R32" s="48">
        <f t="shared" si="20"/>
        <v>30109</v>
      </c>
      <c r="S32" s="48">
        <f t="shared" si="20"/>
        <v>31917</v>
      </c>
      <c r="T32" s="48">
        <f t="shared" si="16"/>
        <v>47927563</v>
      </c>
      <c r="U32" s="48">
        <f t="shared" si="17"/>
        <v>45903311</v>
      </c>
    </row>
  </sheetData>
  <mergeCells count="10">
    <mergeCell ref="P1:Q1"/>
    <mergeCell ref="R1:S1"/>
    <mergeCell ref="T1:U1"/>
    <mergeCell ref="D1:E1"/>
    <mergeCell ref="H1:I1"/>
    <mergeCell ref="B1:C1"/>
    <mergeCell ref="F1:G1"/>
    <mergeCell ref="J1:K1"/>
    <mergeCell ref="L1:M1"/>
    <mergeCell ref="N1:O1"/>
  </mergeCells>
  <pageMargins left="0.43307086614173229" right="0.31496062992125984" top="0.7421875" bottom="0.27559055118110237" header="0.31496062992125984" footer="0.15748031496062992"/>
  <pageSetup paperSize="9" scale="75" orientation="landscape" r:id="rId1"/>
  <headerFooter>
    <oddHeader>&amp;L 4. melléklet 1. tájékoztató tábla &amp;C2021. évi  MÉRLEG 
BUDAPEST I. KERÜLET BUDAVÁRI ÖNKORMÁNYZAT ÉS INTÉZMÉNYEI&amp;R
Adatok eFt-ban</oddHead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view="pageBreakPreview" topLeftCell="B1" zoomScaleNormal="110" zoomScaleSheetLayoutView="100" workbookViewId="0">
      <selection activeCell="H17" sqref="H17"/>
    </sheetView>
  </sheetViews>
  <sheetFormatPr defaultRowHeight="15" x14ac:dyDescent="0.25"/>
  <cols>
    <col min="1" max="1" width="59.85546875" customWidth="1"/>
    <col min="2" max="21" width="12.7109375" customWidth="1"/>
  </cols>
  <sheetData>
    <row r="1" spans="1:21" ht="64.5" customHeight="1" x14ac:dyDescent="0.25">
      <c r="A1" s="28" t="s">
        <v>45</v>
      </c>
      <c r="B1" s="94" t="s">
        <v>62</v>
      </c>
      <c r="C1" s="95"/>
      <c r="D1" s="94" t="s">
        <v>63</v>
      </c>
      <c r="E1" s="95"/>
      <c r="F1" s="94" t="s">
        <v>64</v>
      </c>
      <c r="G1" s="95"/>
      <c r="H1" s="94" t="s">
        <v>65</v>
      </c>
      <c r="I1" s="95"/>
      <c r="J1" s="94" t="s">
        <v>66</v>
      </c>
      <c r="K1" s="95"/>
      <c r="L1" s="94" t="s">
        <v>67</v>
      </c>
      <c r="M1" s="95"/>
      <c r="N1" s="94" t="s">
        <v>68</v>
      </c>
      <c r="O1" s="95"/>
      <c r="P1" s="94" t="s">
        <v>69</v>
      </c>
      <c r="Q1" s="95"/>
      <c r="R1" s="94" t="s">
        <v>70</v>
      </c>
      <c r="S1" s="95"/>
      <c r="T1" s="94" t="s">
        <v>11</v>
      </c>
      <c r="U1" s="95"/>
    </row>
    <row r="2" spans="1:21" x14ac:dyDescent="0.25">
      <c r="A2" s="28"/>
      <c r="B2" s="40" t="s">
        <v>71</v>
      </c>
      <c r="C2" s="40" t="s">
        <v>72</v>
      </c>
      <c r="D2" s="40" t="s">
        <v>71</v>
      </c>
      <c r="E2" s="40" t="s">
        <v>72</v>
      </c>
      <c r="F2" s="40" t="s">
        <v>71</v>
      </c>
      <c r="G2" s="40" t="s">
        <v>72</v>
      </c>
      <c r="H2" s="40" t="s">
        <v>71</v>
      </c>
      <c r="I2" s="40" t="s">
        <v>72</v>
      </c>
      <c r="J2" s="40" t="s">
        <v>71</v>
      </c>
      <c r="K2" s="40" t="s">
        <v>72</v>
      </c>
      <c r="L2" s="40" t="s">
        <v>71</v>
      </c>
      <c r="M2" s="40" t="s">
        <v>72</v>
      </c>
      <c r="N2" s="40" t="s">
        <v>71</v>
      </c>
      <c r="O2" s="40" t="s">
        <v>72</v>
      </c>
      <c r="P2" s="40" t="s">
        <v>71</v>
      </c>
      <c r="Q2" s="40" t="s">
        <v>72</v>
      </c>
      <c r="R2" s="40" t="s">
        <v>71</v>
      </c>
      <c r="S2" s="40" t="s">
        <v>72</v>
      </c>
      <c r="T2" s="40" t="s">
        <v>71</v>
      </c>
      <c r="U2" s="40" t="s">
        <v>72</v>
      </c>
    </row>
    <row r="3" spans="1:21" x14ac:dyDescent="0.25">
      <c r="A3" s="29" t="s">
        <v>46</v>
      </c>
      <c r="B3" s="30">
        <f>3962961-1</f>
        <v>3962960</v>
      </c>
      <c r="C3" s="30">
        <v>3883628</v>
      </c>
      <c r="D3" s="30">
        <v>10133</v>
      </c>
      <c r="E3" s="31">
        <v>11136</v>
      </c>
      <c r="F3" s="31">
        <v>17349</v>
      </c>
      <c r="G3" s="30">
        <v>15946</v>
      </c>
      <c r="H3" s="30">
        <v>1167495</v>
      </c>
      <c r="I3" s="31">
        <v>984686</v>
      </c>
      <c r="J3" s="31">
        <v>20434</v>
      </c>
      <c r="K3" s="31">
        <v>24902</v>
      </c>
      <c r="L3" s="31">
        <v>20426</v>
      </c>
      <c r="M3" s="31">
        <v>20802</v>
      </c>
      <c r="N3" s="31">
        <v>35815</v>
      </c>
      <c r="O3" s="31">
        <v>34024</v>
      </c>
      <c r="P3" s="31">
        <v>11083</v>
      </c>
      <c r="Q3" s="31">
        <v>14110</v>
      </c>
      <c r="R3" s="31">
        <v>5422</v>
      </c>
      <c r="S3" s="31">
        <v>14189</v>
      </c>
      <c r="T3" s="31">
        <f>+R3+P3+N3+L3+J3+H3+F3+D3+B3</f>
        <v>5251117</v>
      </c>
      <c r="U3" s="31">
        <f>+S3+Q3+O3+M3+K3+I3+G3+E3+C3</f>
        <v>5003423</v>
      </c>
    </row>
    <row r="4" spans="1:21" x14ac:dyDescent="0.25">
      <c r="A4" s="29" t="s">
        <v>47</v>
      </c>
      <c r="B4" s="30"/>
      <c r="C4" s="30"/>
      <c r="D4" s="30"/>
      <c r="E4" s="31"/>
      <c r="F4" s="31"/>
      <c r="G4" s="30"/>
      <c r="H4" s="30"/>
      <c r="I4" s="33"/>
      <c r="J4" s="33"/>
      <c r="K4" s="33"/>
      <c r="L4" s="33"/>
      <c r="M4" s="33"/>
      <c r="N4" s="33"/>
      <c r="O4" s="33"/>
      <c r="P4" s="33"/>
      <c r="Q4" s="33"/>
      <c r="R4" s="33"/>
      <c r="S4" s="34"/>
      <c r="T4" s="31">
        <f t="shared" ref="T4:T9" si="0">+R4+P4+N4+L4+J4+H4+F4+D4+B4</f>
        <v>0</v>
      </c>
      <c r="U4" s="31">
        <f t="shared" ref="U4:U9" si="1">+S4+Q4+O4+M4+K4+I4+G4+E4+C4</f>
        <v>0</v>
      </c>
    </row>
    <row r="5" spans="1:21" x14ac:dyDescent="0.25">
      <c r="A5" s="29" t="s">
        <v>48</v>
      </c>
      <c r="B5" s="30">
        <v>3535195</v>
      </c>
      <c r="C5" s="30">
        <v>2429638</v>
      </c>
      <c r="D5" s="30">
        <v>1520533</v>
      </c>
      <c r="E5" s="31">
        <v>1000969</v>
      </c>
      <c r="F5" s="31">
        <v>1043230</v>
      </c>
      <c r="G5" s="30">
        <v>891894</v>
      </c>
      <c r="H5" s="30">
        <v>1369466</v>
      </c>
      <c r="I5" s="31">
        <v>2467701</v>
      </c>
      <c r="J5" s="31">
        <v>792014</v>
      </c>
      <c r="K5" s="31">
        <v>884275</v>
      </c>
      <c r="L5" s="31">
        <v>350913</v>
      </c>
      <c r="M5" s="31">
        <v>391670</v>
      </c>
      <c r="N5" s="31">
        <v>422249</v>
      </c>
      <c r="O5" s="31">
        <v>446948</v>
      </c>
      <c r="P5" s="31">
        <v>44828</v>
      </c>
      <c r="Q5" s="31">
        <v>58648</v>
      </c>
      <c r="R5" s="31">
        <v>74817</v>
      </c>
      <c r="S5" s="31">
        <v>97994</v>
      </c>
      <c r="T5" s="31">
        <f t="shared" si="0"/>
        <v>9153245</v>
      </c>
      <c r="U5" s="31">
        <f t="shared" si="1"/>
        <v>8669737</v>
      </c>
    </row>
    <row r="6" spans="1:21" x14ac:dyDescent="0.25">
      <c r="A6" s="29" t="s">
        <v>49</v>
      </c>
      <c r="B6" s="30">
        <v>986737</v>
      </c>
      <c r="C6" s="30">
        <v>818438</v>
      </c>
      <c r="D6" s="30">
        <v>137577</v>
      </c>
      <c r="E6" s="31">
        <v>208722</v>
      </c>
      <c r="F6" s="31">
        <v>248728</v>
      </c>
      <c r="G6" s="30">
        <v>221909</v>
      </c>
      <c r="H6" s="30">
        <v>1313070</v>
      </c>
      <c r="I6" s="31">
        <v>1377895</v>
      </c>
      <c r="J6" s="31">
        <v>101304</v>
      </c>
      <c r="K6" s="31">
        <v>143100</v>
      </c>
      <c r="L6" s="31">
        <v>38485</v>
      </c>
      <c r="M6" s="31">
        <v>49226</v>
      </c>
      <c r="N6" s="31">
        <v>74972</v>
      </c>
      <c r="O6" s="31">
        <v>71437</v>
      </c>
      <c r="P6" s="31">
        <v>7253</v>
      </c>
      <c r="Q6" s="31">
        <v>13253</v>
      </c>
      <c r="R6" s="31">
        <v>20979</v>
      </c>
      <c r="S6" s="31">
        <v>42108</v>
      </c>
      <c r="T6" s="31">
        <f t="shared" si="0"/>
        <v>2929105</v>
      </c>
      <c r="U6" s="31">
        <f t="shared" si="1"/>
        <v>2946088</v>
      </c>
    </row>
    <row r="7" spans="1:21" x14ac:dyDescent="0.25">
      <c r="A7" s="29" t="s">
        <v>50</v>
      </c>
      <c r="B7" s="30">
        <v>221194</v>
      </c>
      <c r="C7" s="30">
        <v>202339</v>
      </c>
      <c r="D7" s="30">
        <v>746414</v>
      </c>
      <c r="E7" s="31">
        <v>916708</v>
      </c>
      <c r="F7" s="31">
        <v>588722</v>
      </c>
      <c r="G7" s="31">
        <v>750106</v>
      </c>
      <c r="H7" s="31">
        <v>445672</v>
      </c>
      <c r="I7" s="31">
        <v>492149</v>
      </c>
      <c r="J7" s="31">
        <v>545621</v>
      </c>
      <c r="K7" s="31">
        <v>652694</v>
      </c>
      <c r="L7" s="31">
        <v>280156</v>
      </c>
      <c r="M7" s="31">
        <v>319590</v>
      </c>
      <c r="N7" s="31">
        <v>351285</v>
      </c>
      <c r="O7" s="31">
        <v>339715</v>
      </c>
      <c r="P7" s="31">
        <v>28710</v>
      </c>
      <c r="Q7" s="31">
        <v>32126</v>
      </c>
      <c r="R7" s="31">
        <v>38419</v>
      </c>
      <c r="S7" s="31">
        <v>50746</v>
      </c>
      <c r="T7" s="31">
        <f t="shared" si="0"/>
        <v>3246193</v>
      </c>
      <c r="U7" s="31">
        <f t="shared" si="1"/>
        <v>3756173</v>
      </c>
    </row>
    <row r="8" spans="1:21" x14ac:dyDescent="0.25">
      <c r="A8" s="29" t="s">
        <v>51</v>
      </c>
      <c r="B8" s="30">
        <v>502882</v>
      </c>
      <c r="C8" s="30">
        <v>575634</v>
      </c>
      <c r="D8" s="30">
        <v>38982</v>
      </c>
      <c r="E8" s="31">
        <v>44943</v>
      </c>
      <c r="F8" s="31">
        <v>48253</v>
      </c>
      <c r="G8" s="31">
        <v>52243</v>
      </c>
      <c r="H8" s="31">
        <v>80018</v>
      </c>
      <c r="I8" s="31">
        <v>93051</v>
      </c>
      <c r="J8" s="31">
        <v>15307</v>
      </c>
      <c r="K8" s="31">
        <f>22655+1</f>
        <v>22656</v>
      </c>
      <c r="L8" s="31">
        <v>9489</v>
      </c>
      <c r="M8" s="31">
        <v>11045</v>
      </c>
      <c r="N8" s="31">
        <v>3728</v>
      </c>
      <c r="O8" s="31">
        <v>4883</v>
      </c>
      <c r="P8" s="31">
        <v>8100</v>
      </c>
      <c r="Q8" s="31">
        <v>8454</v>
      </c>
      <c r="R8" s="31">
        <v>1363</v>
      </c>
      <c r="S8" s="31">
        <v>7534</v>
      </c>
      <c r="T8" s="31">
        <f t="shared" si="0"/>
        <v>708122</v>
      </c>
      <c r="U8" s="31">
        <f t="shared" si="1"/>
        <v>820443</v>
      </c>
    </row>
    <row r="9" spans="1:21" x14ac:dyDescent="0.25">
      <c r="A9" s="29" t="s">
        <v>52</v>
      </c>
      <c r="B9" s="30">
        <v>3968948</v>
      </c>
      <c r="C9" s="30">
        <v>7304551</v>
      </c>
      <c r="D9" s="30">
        <v>29707</v>
      </c>
      <c r="E9" s="31">
        <v>93319</v>
      </c>
      <c r="F9" s="31">
        <f>1+42272</f>
        <v>42273</v>
      </c>
      <c r="G9" s="31">
        <v>131707</v>
      </c>
      <c r="H9" s="31">
        <v>98902</v>
      </c>
      <c r="I9" s="31">
        <v>478764</v>
      </c>
      <c r="J9" s="31">
        <v>22590</v>
      </c>
      <c r="K9" s="31">
        <v>32374</v>
      </c>
      <c r="L9" s="31">
        <v>9281</v>
      </c>
      <c r="M9" s="31">
        <v>11182</v>
      </c>
      <c r="N9" s="31">
        <v>10925</v>
      </c>
      <c r="O9" s="31">
        <v>5653</v>
      </c>
      <c r="P9" s="31">
        <v>2032</v>
      </c>
      <c r="Q9" s="31">
        <v>3938</v>
      </c>
      <c r="R9" s="31">
        <v>4085</v>
      </c>
      <c r="S9" s="31">
        <v>10191</v>
      </c>
      <c r="T9" s="31">
        <f t="shared" si="0"/>
        <v>4188743</v>
      </c>
      <c r="U9" s="31">
        <f t="shared" si="1"/>
        <v>8071679</v>
      </c>
    </row>
    <row r="10" spans="1:21" x14ac:dyDescent="0.25">
      <c r="A10" s="35" t="s">
        <v>53</v>
      </c>
      <c r="B10" s="36">
        <f t="shared" ref="B10:S10" si="2">+B3+B4+B5-B6-B7-B8-B9</f>
        <v>1818394</v>
      </c>
      <c r="C10" s="36">
        <f t="shared" si="2"/>
        <v>-2587696</v>
      </c>
      <c r="D10" s="36">
        <f t="shared" si="2"/>
        <v>577986</v>
      </c>
      <c r="E10" s="36">
        <f t="shared" si="2"/>
        <v>-251587</v>
      </c>
      <c r="F10" s="36">
        <f t="shared" si="2"/>
        <v>132603</v>
      </c>
      <c r="G10" s="36">
        <f t="shared" si="2"/>
        <v>-248125</v>
      </c>
      <c r="H10" s="36">
        <f t="shared" si="2"/>
        <v>599299</v>
      </c>
      <c r="I10" s="36">
        <f t="shared" si="2"/>
        <v>1010528</v>
      </c>
      <c r="J10" s="36">
        <f t="shared" si="2"/>
        <v>127626</v>
      </c>
      <c r="K10" s="36">
        <f t="shared" si="2"/>
        <v>58353</v>
      </c>
      <c r="L10" s="36">
        <f t="shared" si="2"/>
        <v>33928</v>
      </c>
      <c r="M10" s="36">
        <f t="shared" si="2"/>
        <v>21429</v>
      </c>
      <c r="N10" s="36">
        <f t="shared" si="2"/>
        <v>17154</v>
      </c>
      <c r="O10" s="36">
        <f t="shared" si="2"/>
        <v>59284</v>
      </c>
      <c r="P10" s="36">
        <f t="shared" si="2"/>
        <v>9816</v>
      </c>
      <c r="Q10" s="36">
        <f t="shared" si="2"/>
        <v>14987</v>
      </c>
      <c r="R10" s="36">
        <f t="shared" si="2"/>
        <v>15393</v>
      </c>
      <c r="S10" s="36">
        <f t="shared" si="2"/>
        <v>1604</v>
      </c>
      <c r="T10" s="36">
        <f t="shared" ref="T10:U10" si="3">+T3+T4+T5-T6-T7-T8-T9</f>
        <v>3332199</v>
      </c>
      <c r="U10" s="36">
        <f t="shared" si="3"/>
        <v>-1921223</v>
      </c>
    </row>
    <row r="11" spans="1:21" x14ac:dyDescent="0.25">
      <c r="A11" s="29" t="s">
        <v>54</v>
      </c>
      <c r="B11" s="30">
        <v>643814</v>
      </c>
      <c r="C11" s="30">
        <v>320880</v>
      </c>
      <c r="D11" s="30">
        <v>31</v>
      </c>
      <c r="E11" s="31">
        <v>69</v>
      </c>
      <c r="F11" s="31">
        <v>53</v>
      </c>
      <c r="G11" s="31">
        <v>56</v>
      </c>
      <c r="H11" s="31">
        <v>59</v>
      </c>
      <c r="I11" s="31">
        <f>106+1</f>
        <v>107</v>
      </c>
      <c r="J11" s="31">
        <v>9</v>
      </c>
      <c r="K11" s="31">
        <v>17</v>
      </c>
      <c r="L11" s="31">
        <v>4</v>
      </c>
      <c r="M11" s="31">
        <v>5</v>
      </c>
      <c r="N11" s="31">
        <v>3</v>
      </c>
      <c r="O11" s="31">
        <v>8</v>
      </c>
      <c r="P11" s="31">
        <v>1</v>
      </c>
      <c r="Q11" s="31">
        <v>2</v>
      </c>
      <c r="R11" s="31">
        <v>1</v>
      </c>
      <c r="S11" s="36">
        <v>4</v>
      </c>
      <c r="T11" s="31">
        <f t="shared" ref="T11:T12" si="4">+R11+P11+N11+L11+J11+H11+F11+D11+B11</f>
        <v>643975</v>
      </c>
      <c r="U11" s="31">
        <f t="shared" ref="U11:U12" si="5">+S11+Q11+O11+M11+K11+I11+G11+E11+C11</f>
        <v>321148</v>
      </c>
    </row>
    <row r="12" spans="1:21" x14ac:dyDescent="0.25">
      <c r="A12" s="29" t="s">
        <v>55</v>
      </c>
      <c r="B12" s="30">
        <v>574455</v>
      </c>
      <c r="C12" s="30">
        <v>96</v>
      </c>
      <c r="D12" s="30">
        <v>1</v>
      </c>
      <c r="E12" s="31">
        <v>2</v>
      </c>
      <c r="F12" s="31"/>
      <c r="G12" s="31">
        <v>0</v>
      </c>
      <c r="H12" s="31"/>
      <c r="I12" s="31">
        <v>0</v>
      </c>
      <c r="J12" s="31"/>
      <c r="K12" s="31">
        <v>0</v>
      </c>
      <c r="L12" s="31"/>
      <c r="M12" s="31">
        <v>0</v>
      </c>
      <c r="N12" s="31"/>
      <c r="O12" s="31"/>
      <c r="P12" s="31"/>
      <c r="Q12" s="31">
        <v>0</v>
      </c>
      <c r="R12" s="31">
        <v>6</v>
      </c>
      <c r="S12" s="36">
        <v>2</v>
      </c>
      <c r="T12" s="31">
        <f t="shared" si="4"/>
        <v>574462</v>
      </c>
      <c r="U12" s="31">
        <f t="shared" si="5"/>
        <v>100</v>
      </c>
    </row>
    <row r="13" spans="1:21" x14ac:dyDescent="0.25">
      <c r="A13" s="35" t="s">
        <v>56</v>
      </c>
      <c r="B13" s="36">
        <f t="shared" ref="B13:S13" si="6">+B11-B12</f>
        <v>69359</v>
      </c>
      <c r="C13" s="36">
        <f t="shared" si="6"/>
        <v>320784</v>
      </c>
      <c r="D13" s="36">
        <f t="shared" si="6"/>
        <v>30</v>
      </c>
      <c r="E13" s="36">
        <f t="shared" si="6"/>
        <v>67</v>
      </c>
      <c r="F13" s="36">
        <f t="shared" si="6"/>
        <v>53</v>
      </c>
      <c r="G13" s="36">
        <f t="shared" si="6"/>
        <v>56</v>
      </c>
      <c r="H13" s="36">
        <f t="shared" si="6"/>
        <v>59</v>
      </c>
      <c r="I13" s="36">
        <f t="shared" si="6"/>
        <v>107</v>
      </c>
      <c r="J13" s="36">
        <f t="shared" si="6"/>
        <v>9</v>
      </c>
      <c r="K13" s="36">
        <f t="shared" si="6"/>
        <v>17</v>
      </c>
      <c r="L13" s="36">
        <f t="shared" si="6"/>
        <v>4</v>
      </c>
      <c r="M13" s="36">
        <f t="shared" si="6"/>
        <v>5</v>
      </c>
      <c r="N13" s="36">
        <f t="shared" si="6"/>
        <v>3</v>
      </c>
      <c r="O13" s="36">
        <f t="shared" si="6"/>
        <v>8</v>
      </c>
      <c r="P13" s="36">
        <f t="shared" si="6"/>
        <v>1</v>
      </c>
      <c r="Q13" s="36">
        <f t="shared" si="6"/>
        <v>2</v>
      </c>
      <c r="R13" s="36">
        <f t="shared" si="6"/>
        <v>-5</v>
      </c>
      <c r="S13" s="36">
        <f t="shared" si="6"/>
        <v>2</v>
      </c>
      <c r="T13" s="36">
        <f t="shared" ref="T13:U13" si="7">+T11-T12</f>
        <v>69513</v>
      </c>
      <c r="U13" s="36">
        <f t="shared" si="7"/>
        <v>321048</v>
      </c>
    </row>
    <row r="14" spans="1:21" x14ac:dyDescent="0.25">
      <c r="A14" s="35" t="s">
        <v>57</v>
      </c>
      <c r="B14" s="36">
        <f t="shared" ref="B14:S14" si="8">+B10+B13</f>
        <v>1887753</v>
      </c>
      <c r="C14" s="36">
        <f t="shared" si="8"/>
        <v>-2266912</v>
      </c>
      <c r="D14" s="36">
        <f t="shared" si="8"/>
        <v>578016</v>
      </c>
      <c r="E14" s="36">
        <f t="shared" si="8"/>
        <v>-251520</v>
      </c>
      <c r="F14" s="36">
        <f t="shared" si="8"/>
        <v>132656</v>
      </c>
      <c r="G14" s="36">
        <f t="shared" si="8"/>
        <v>-248069</v>
      </c>
      <c r="H14" s="36">
        <f t="shared" si="8"/>
        <v>599358</v>
      </c>
      <c r="I14" s="36">
        <f t="shared" si="8"/>
        <v>1010635</v>
      </c>
      <c r="J14" s="36">
        <f t="shared" si="8"/>
        <v>127635</v>
      </c>
      <c r="K14" s="36">
        <f t="shared" si="8"/>
        <v>58370</v>
      </c>
      <c r="L14" s="36">
        <f t="shared" si="8"/>
        <v>33932</v>
      </c>
      <c r="M14" s="36">
        <f t="shared" si="8"/>
        <v>21434</v>
      </c>
      <c r="N14" s="36">
        <f t="shared" si="8"/>
        <v>17157</v>
      </c>
      <c r="O14" s="36">
        <f t="shared" si="8"/>
        <v>59292</v>
      </c>
      <c r="P14" s="36">
        <f t="shared" si="8"/>
        <v>9817</v>
      </c>
      <c r="Q14" s="36">
        <f t="shared" si="8"/>
        <v>14989</v>
      </c>
      <c r="R14" s="36">
        <f t="shared" si="8"/>
        <v>15388</v>
      </c>
      <c r="S14" s="36">
        <f t="shared" si="8"/>
        <v>1606</v>
      </c>
      <c r="T14" s="36">
        <f t="shared" ref="T14:U14" si="9">+T10+T13</f>
        <v>3401712</v>
      </c>
      <c r="U14" s="36">
        <f t="shared" si="9"/>
        <v>-1600175</v>
      </c>
    </row>
    <row r="15" spans="1:21" x14ac:dyDescent="0.25">
      <c r="A15" s="29" t="s">
        <v>58</v>
      </c>
      <c r="B15" s="30"/>
      <c r="C15" s="31"/>
      <c r="D15" s="31"/>
      <c r="E15" s="31">
        <v>0</v>
      </c>
      <c r="F15" s="31"/>
      <c r="G15" s="31">
        <v>0</v>
      </c>
      <c r="H15" s="31"/>
      <c r="I15" s="31">
        <v>0</v>
      </c>
      <c r="J15" s="31"/>
      <c r="K15" s="31">
        <v>0</v>
      </c>
      <c r="L15" s="31"/>
      <c r="M15" s="31">
        <v>0</v>
      </c>
      <c r="N15" s="31"/>
      <c r="O15" s="31">
        <v>0</v>
      </c>
      <c r="P15" s="31"/>
      <c r="Q15" s="31">
        <v>0</v>
      </c>
      <c r="R15" s="31"/>
      <c r="S15" s="31">
        <v>0</v>
      </c>
      <c r="T15" s="31"/>
      <c r="U15" s="32">
        <f>SUM(C15:S15)</f>
        <v>0</v>
      </c>
    </row>
    <row r="16" spans="1:21" x14ac:dyDescent="0.25">
      <c r="A16" s="29" t="s">
        <v>59</v>
      </c>
      <c r="B16" s="30"/>
      <c r="C16" s="31"/>
      <c r="D16" s="31"/>
      <c r="E16" s="31">
        <v>0</v>
      </c>
      <c r="F16" s="31"/>
      <c r="G16" s="31">
        <v>0</v>
      </c>
      <c r="H16" s="31"/>
      <c r="I16" s="31">
        <v>0</v>
      </c>
      <c r="J16" s="31"/>
      <c r="K16" s="31">
        <v>0</v>
      </c>
      <c r="L16" s="31"/>
      <c r="M16" s="31">
        <v>0</v>
      </c>
      <c r="N16" s="31"/>
      <c r="O16" s="31">
        <v>0</v>
      </c>
      <c r="P16" s="31"/>
      <c r="Q16" s="31">
        <v>0</v>
      </c>
      <c r="R16" s="31"/>
      <c r="S16" s="31">
        <v>0</v>
      </c>
      <c r="T16" s="31"/>
      <c r="U16" s="32">
        <f>SUM(C16:S16)</f>
        <v>0</v>
      </c>
    </row>
    <row r="17" spans="1:21" x14ac:dyDescent="0.25">
      <c r="A17" s="35" t="s">
        <v>60</v>
      </c>
      <c r="B17" s="30"/>
      <c r="C17" s="36">
        <f>+C15-C16</f>
        <v>0</v>
      </c>
      <c r="D17" s="36"/>
      <c r="E17" s="36">
        <f>+E15-E16</f>
        <v>0</v>
      </c>
      <c r="F17" s="36"/>
      <c r="G17" s="36">
        <f>+G15-G16</f>
        <v>0</v>
      </c>
      <c r="H17" s="36"/>
      <c r="I17" s="36">
        <f>+I15-I16</f>
        <v>0</v>
      </c>
      <c r="J17" s="36"/>
      <c r="K17" s="36">
        <f>+K15-K16</f>
        <v>0</v>
      </c>
      <c r="L17" s="36"/>
      <c r="M17" s="36">
        <f>+M15-M16</f>
        <v>0</v>
      </c>
      <c r="N17" s="36"/>
      <c r="O17" s="36">
        <f>+O15-O16</f>
        <v>0</v>
      </c>
      <c r="P17" s="36"/>
      <c r="Q17" s="36">
        <f>+Q15-Q16</f>
        <v>0</v>
      </c>
      <c r="R17" s="36"/>
      <c r="S17" s="36">
        <f>+S15-S16</f>
        <v>0</v>
      </c>
      <c r="T17" s="36"/>
      <c r="U17" s="37">
        <f>SUM(C17:S17)</f>
        <v>0</v>
      </c>
    </row>
    <row r="18" spans="1:21" x14ac:dyDescent="0.25">
      <c r="A18" s="38" t="s">
        <v>61</v>
      </c>
      <c r="B18" s="39">
        <f t="shared" ref="B18:S18" si="10">+B14+B17</f>
        <v>1887753</v>
      </c>
      <c r="C18" s="39">
        <f t="shared" si="10"/>
        <v>-2266912</v>
      </c>
      <c r="D18" s="39">
        <f t="shared" si="10"/>
        <v>578016</v>
      </c>
      <c r="E18" s="39">
        <f t="shared" si="10"/>
        <v>-251520</v>
      </c>
      <c r="F18" s="39">
        <f t="shared" si="10"/>
        <v>132656</v>
      </c>
      <c r="G18" s="39">
        <f t="shared" si="10"/>
        <v>-248069</v>
      </c>
      <c r="H18" s="39">
        <f t="shared" si="10"/>
        <v>599358</v>
      </c>
      <c r="I18" s="39">
        <f t="shared" si="10"/>
        <v>1010635</v>
      </c>
      <c r="J18" s="39">
        <f t="shared" si="10"/>
        <v>127635</v>
      </c>
      <c r="K18" s="39">
        <f t="shared" si="10"/>
        <v>58370</v>
      </c>
      <c r="L18" s="39">
        <f t="shared" si="10"/>
        <v>33932</v>
      </c>
      <c r="M18" s="39">
        <f t="shared" si="10"/>
        <v>21434</v>
      </c>
      <c r="N18" s="39">
        <f t="shared" si="10"/>
        <v>17157</v>
      </c>
      <c r="O18" s="39">
        <f t="shared" si="10"/>
        <v>59292</v>
      </c>
      <c r="P18" s="39">
        <f t="shared" si="10"/>
        <v>9817</v>
      </c>
      <c r="Q18" s="39">
        <f t="shared" si="10"/>
        <v>14989</v>
      </c>
      <c r="R18" s="39">
        <f t="shared" si="10"/>
        <v>15388</v>
      </c>
      <c r="S18" s="39">
        <f t="shared" si="10"/>
        <v>1606</v>
      </c>
      <c r="T18" s="39">
        <f t="shared" ref="T18:U18" si="11">+T14+T17</f>
        <v>3401712</v>
      </c>
      <c r="U18" s="39">
        <f t="shared" si="11"/>
        <v>-1600175</v>
      </c>
    </row>
  </sheetData>
  <mergeCells count="10">
    <mergeCell ref="H1:I1"/>
    <mergeCell ref="T1:U1"/>
    <mergeCell ref="B1:C1"/>
    <mergeCell ref="D1:E1"/>
    <mergeCell ref="F1:G1"/>
    <mergeCell ref="R1:S1"/>
    <mergeCell ref="P1:Q1"/>
    <mergeCell ref="N1:O1"/>
    <mergeCell ref="J1:K1"/>
    <mergeCell ref="L1:M1"/>
  </mergeCells>
  <pageMargins left="0.56000000000000005" right="0.19" top="1.1599999999999999" bottom="0.74803149606299213" header="0.46" footer="0.31496062992125984"/>
  <pageSetup paperSize="9" scale="85" orientation="landscape" r:id="rId1"/>
  <headerFooter>
    <oddHeader>&amp;L 4. melléklet 2. tájékoztató tábla &amp;C2021. évi eredménykimutatás
BUDAPEST I. KERÜLET BUDAVÁRI ÖNKORMÁNYZAT ÉS INTÉZMÉNYEI&amp;R
Adatok eFt-ban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view="pageBreakPreview" zoomScaleNormal="100" zoomScaleSheetLayoutView="100" workbookViewId="0">
      <selection sqref="A1:XFD1"/>
    </sheetView>
  </sheetViews>
  <sheetFormatPr defaultColWidth="8.7109375" defaultRowHeight="12.75" x14ac:dyDescent="0.2"/>
  <cols>
    <col min="1" max="1" width="4.85546875" style="49" customWidth="1"/>
    <col min="2" max="2" width="36.140625" style="49" customWidth="1"/>
    <col min="3" max="3" width="16.140625" style="49" customWidth="1"/>
    <col min="4" max="4" width="16" style="49" customWidth="1"/>
    <col min="5" max="5" width="15.28515625" style="49" customWidth="1"/>
    <col min="6" max="6" width="14.85546875" style="49" customWidth="1"/>
    <col min="7" max="7" width="14" style="49" customWidth="1"/>
    <col min="8" max="8" width="12.140625" style="49" bestFit="1" customWidth="1"/>
    <col min="9" max="9" width="14.7109375" style="49" customWidth="1"/>
    <col min="10" max="10" width="14.28515625" style="49" customWidth="1"/>
    <col min="11" max="11" width="15" style="49" customWidth="1"/>
    <col min="12" max="12" width="16.140625" style="49" customWidth="1"/>
    <col min="13" max="13" width="4.42578125" style="49" customWidth="1"/>
    <col min="14" max="16384" width="8.7109375" style="49"/>
  </cols>
  <sheetData>
    <row r="1" spans="1:12" ht="90" customHeight="1" thickBot="1" x14ac:dyDescent="0.25">
      <c r="A1" s="96"/>
      <c r="B1" s="97"/>
      <c r="C1" s="53" t="s">
        <v>62</v>
      </c>
      <c r="D1" s="53" t="s">
        <v>63</v>
      </c>
      <c r="E1" s="53" t="s">
        <v>64</v>
      </c>
      <c r="F1" s="53" t="s">
        <v>65</v>
      </c>
      <c r="G1" s="53" t="s">
        <v>66</v>
      </c>
      <c r="H1" s="53" t="s">
        <v>67</v>
      </c>
      <c r="I1" s="53" t="s">
        <v>68</v>
      </c>
      <c r="J1" s="53" t="s">
        <v>69</v>
      </c>
      <c r="K1" s="53" t="s">
        <v>70</v>
      </c>
      <c r="L1" s="54" t="s">
        <v>11</v>
      </c>
    </row>
    <row r="2" spans="1:12" ht="25.5" x14ac:dyDescent="0.2">
      <c r="A2" s="58" t="s">
        <v>117</v>
      </c>
      <c r="B2" s="59" t="s">
        <v>118</v>
      </c>
      <c r="C2" s="68">
        <f t="shared" ref="C2:K2" si="0">+C3+C4</f>
        <v>4629057</v>
      </c>
      <c r="D2" s="68">
        <f t="shared" si="0"/>
        <v>623705</v>
      </c>
      <c r="E2" s="68">
        <f t="shared" si="0"/>
        <v>790771</v>
      </c>
      <c r="F2" s="68">
        <f t="shared" si="0"/>
        <v>481455</v>
      </c>
      <c r="G2" s="68">
        <f t="shared" si="0"/>
        <v>119302</v>
      </c>
      <c r="H2" s="68">
        <f t="shared" si="0"/>
        <v>35795</v>
      </c>
      <c r="I2" s="68">
        <f t="shared" si="0"/>
        <v>37185</v>
      </c>
      <c r="J2" s="68">
        <f t="shared" si="0"/>
        <v>11596</v>
      </c>
      <c r="K2" s="68">
        <f t="shared" si="0"/>
        <v>16226</v>
      </c>
      <c r="L2" s="69">
        <f t="shared" ref="L2:L28" si="1">SUM(C2:K2)</f>
        <v>6745092</v>
      </c>
    </row>
    <row r="3" spans="1:12" ht="25.5" x14ac:dyDescent="0.2">
      <c r="A3" s="60" t="s">
        <v>119</v>
      </c>
      <c r="B3" s="61" t="s">
        <v>120</v>
      </c>
      <c r="C3" s="70">
        <v>4814</v>
      </c>
      <c r="D3" s="50"/>
      <c r="E3" s="70">
        <v>241</v>
      </c>
      <c r="F3" s="50"/>
      <c r="G3" s="50"/>
      <c r="H3" s="50"/>
      <c r="I3" s="50"/>
      <c r="J3" s="50"/>
      <c r="K3" s="70">
        <v>85</v>
      </c>
      <c r="L3" s="71">
        <f t="shared" si="1"/>
        <v>5140</v>
      </c>
    </row>
    <row r="4" spans="1:12" ht="25.5" x14ac:dyDescent="0.2">
      <c r="A4" s="60" t="s">
        <v>121</v>
      </c>
      <c r="B4" s="61" t="s">
        <v>122</v>
      </c>
      <c r="C4" s="70">
        <v>4624243</v>
      </c>
      <c r="D4" s="70">
        <v>623705</v>
      </c>
      <c r="E4" s="70">
        <v>790530</v>
      </c>
      <c r="F4" s="70">
        <v>481455</v>
      </c>
      <c r="G4" s="70">
        <v>119302</v>
      </c>
      <c r="H4" s="70">
        <v>35795</v>
      </c>
      <c r="I4" s="70">
        <v>37185</v>
      </c>
      <c r="J4" s="70">
        <v>11596</v>
      </c>
      <c r="K4" s="70">
        <v>16141</v>
      </c>
      <c r="L4" s="71">
        <f t="shared" si="1"/>
        <v>6739952</v>
      </c>
    </row>
    <row r="5" spans="1:12" ht="35.25" x14ac:dyDescent="0.2">
      <c r="A5" s="62" t="s">
        <v>123</v>
      </c>
      <c r="B5" s="63" t="s">
        <v>153</v>
      </c>
      <c r="C5" s="72">
        <f>-40735-1</f>
        <v>-40736</v>
      </c>
      <c r="D5" s="72">
        <v>-217197</v>
      </c>
      <c r="E5" s="72">
        <v>-639802</v>
      </c>
      <c r="F5" s="72">
        <v>1385651</v>
      </c>
      <c r="G5" s="72">
        <v>56565</v>
      </c>
      <c r="H5" s="72">
        <v>24291</v>
      </c>
      <c r="I5" s="72">
        <v>62200</v>
      </c>
      <c r="J5" s="72">
        <v>16301</v>
      </c>
      <c r="K5" s="72">
        <v>5408</v>
      </c>
      <c r="L5" s="73">
        <f t="shared" si="1"/>
        <v>652681</v>
      </c>
    </row>
    <row r="6" spans="1:12" ht="25.5" x14ac:dyDescent="0.2">
      <c r="A6" s="60" t="s">
        <v>124</v>
      </c>
      <c r="B6" s="61" t="s">
        <v>103</v>
      </c>
      <c r="C6" s="70">
        <v>-12046815</v>
      </c>
      <c r="D6" s="70">
        <v>-1234600</v>
      </c>
      <c r="E6" s="70">
        <v>-1508220</v>
      </c>
      <c r="F6" s="70">
        <v>-2285779</v>
      </c>
      <c r="G6" s="70">
        <v>-856303</v>
      </c>
      <c r="H6" s="70">
        <v>-391029</v>
      </c>
      <c r="I6" s="70">
        <v>-431966</v>
      </c>
      <c r="J6" s="70">
        <v>-51964</v>
      </c>
      <c r="K6" s="70">
        <v>-110277</v>
      </c>
      <c r="L6" s="55">
        <f t="shared" si="1"/>
        <v>-18916953</v>
      </c>
    </row>
    <row r="7" spans="1:12" ht="25.5" x14ac:dyDescent="0.2">
      <c r="A7" s="60" t="s">
        <v>125</v>
      </c>
      <c r="B7" s="61" t="s">
        <v>104</v>
      </c>
      <c r="C7" s="70">
        <v>16523707</v>
      </c>
      <c r="D7" s="70">
        <v>1641282</v>
      </c>
      <c r="E7" s="70">
        <v>1681489</v>
      </c>
      <c r="F7" s="70">
        <v>4077159</v>
      </c>
      <c r="G7" s="70">
        <v>1034448</v>
      </c>
      <c r="H7" s="70">
        <v>451398</v>
      </c>
      <c r="I7" s="70">
        <v>531718</v>
      </c>
      <c r="J7" s="70">
        <v>79982</v>
      </c>
      <c r="K7" s="70">
        <v>131911</v>
      </c>
      <c r="L7" s="55">
        <f t="shared" si="1"/>
        <v>26153094</v>
      </c>
    </row>
    <row r="8" spans="1:12" ht="38.25" x14ac:dyDescent="0.2">
      <c r="A8" s="60" t="s">
        <v>126</v>
      </c>
      <c r="B8" s="61" t="s">
        <v>105</v>
      </c>
      <c r="C8" s="70">
        <v>-4428152</v>
      </c>
      <c r="D8" s="70">
        <v>-626275</v>
      </c>
      <c r="E8" s="70">
        <v>-795258</v>
      </c>
      <c r="F8" s="70">
        <v>-403538</v>
      </c>
      <c r="G8" s="70">
        <v>-119952</v>
      </c>
      <c r="H8" s="70">
        <v>-35869</v>
      </c>
      <c r="I8" s="70">
        <v>-37640</v>
      </c>
      <c r="J8" s="70">
        <v>-11742</v>
      </c>
      <c r="K8" s="70">
        <v>-16226</v>
      </c>
      <c r="L8" s="55">
        <f t="shared" si="1"/>
        <v>-6474652</v>
      </c>
    </row>
    <row r="9" spans="1:12" ht="25.5" x14ac:dyDescent="0.2">
      <c r="A9" s="60" t="s">
        <v>127</v>
      </c>
      <c r="B9" s="61" t="s">
        <v>106</v>
      </c>
      <c r="C9" s="70">
        <v>8150</v>
      </c>
      <c r="D9" s="70">
        <v>-2053</v>
      </c>
      <c r="E9" s="70">
        <v>-60</v>
      </c>
      <c r="F9" s="70">
        <v>160</v>
      </c>
      <c r="G9" s="70">
        <v>297</v>
      </c>
      <c r="H9" s="70">
        <v>30</v>
      </c>
      <c r="I9" s="70">
        <v>-278</v>
      </c>
      <c r="J9" s="51"/>
      <c r="K9" s="70"/>
      <c r="L9" s="55">
        <f t="shared" si="1"/>
        <v>6246</v>
      </c>
    </row>
    <row r="10" spans="1:12" ht="25.5" x14ac:dyDescent="0.2">
      <c r="A10" s="60"/>
      <c r="B10" s="61" t="s">
        <v>152</v>
      </c>
      <c r="C10" s="70"/>
      <c r="D10" s="51"/>
      <c r="E10" s="70">
        <v>-60</v>
      </c>
      <c r="F10" s="51"/>
      <c r="G10" s="51"/>
      <c r="H10" s="51"/>
      <c r="I10" s="51"/>
      <c r="J10" s="51"/>
      <c r="K10" s="70"/>
      <c r="L10" s="55">
        <f t="shared" si="1"/>
        <v>-60</v>
      </c>
    </row>
    <row r="11" spans="1:12" ht="25.5" x14ac:dyDescent="0.2">
      <c r="A11" s="60" t="s">
        <v>128</v>
      </c>
      <c r="B11" s="61" t="s">
        <v>107</v>
      </c>
      <c r="C11" s="70">
        <v>5477</v>
      </c>
      <c r="D11" s="51"/>
      <c r="E11" s="51"/>
      <c r="F11" s="51"/>
      <c r="G11" s="51"/>
      <c r="H11" s="51"/>
      <c r="I11" s="51"/>
      <c r="J11" s="51"/>
      <c r="K11" s="51"/>
      <c r="L11" s="55">
        <f t="shared" si="1"/>
        <v>5477</v>
      </c>
    </row>
    <row r="12" spans="1:12" x14ac:dyDescent="0.2">
      <c r="A12" s="60"/>
      <c r="B12" s="52"/>
      <c r="C12" s="70"/>
      <c r="D12" s="51"/>
      <c r="E12" s="74"/>
      <c r="F12" s="51"/>
      <c r="G12" s="51"/>
      <c r="H12" s="51"/>
      <c r="I12" s="51"/>
      <c r="J12" s="51"/>
      <c r="K12" s="51"/>
      <c r="L12" s="55">
        <f t="shared" si="1"/>
        <v>0</v>
      </c>
    </row>
    <row r="13" spans="1:12" ht="25.5" x14ac:dyDescent="0.2">
      <c r="A13" s="60" t="s">
        <v>129</v>
      </c>
      <c r="B13" s="61" t="s">
        <v>108</v>
      </c>
      <c r="C13" s="70">
        <v>2674</v>
      </c>
      <c r="D13" s="51"/>
      <c r="E13" s="51"/>
      <c r="F13" s="51"/>
      <c r="G13" s="51"/>
      <c r="H13" s="51"/>
      <c r="I13" s="51"/>
      <c r="J13" s="51"/>
      <c r="K13" s="51"/>
      <c r="L13" s="55">
        <f t="shared" si="1"/>
        <v>2674</v>
      </c>
    </row>
    <row r="14" spans="1:12" ht="25.5" x14ac:dyDescent="0.2">
      <c r="A14" s="60" t="s">
        <v>130</v>
      </c>
      <c r="B14" s="61" t="s">
        <v>109</v>
      </c>
      <c r="C14" s="70">
        <v>-7155</v>
      </c>
      <c r="D14" s="51"/>
      <c r="E14" s="70">
        <v>17874</v>
      </c>
      <c r="F14" s="70">
        <v>112</v>
      </c>
      <c r="G14" s="70">
        <v>1281</v>
      </c>
      <c r="H14" s="70">
        <v>91</v>
      </c>
      <c r="I14" s="70">
        <v>185</v>
      </c>
      <c r="J14" s="70">
        <v>-26</v>
      </c>
      <c r="K14" s="51"/>
      <c r="L14" s="55">
        <f t="shared" si="1"/>
        <v>12362</v>
      </c>
    </row>
    <row r="15" spans="1:12" ht="37.15" customHeight="1" x14ac:dyDescent="0.2">
      <c r="A15" s="60" t="s">
        <v>131</v>
      </c>
      <c r="B15" s="66" t="s">
        <v>110</v>
      </c>
      <c r="C15" s="70">
        <v>-7155</v>
      </c>
      <c r="D15" s="51"/>
      <c r="E15" s="51"/>
      <c r="F15" s="51"/>
      <c r="G15" s="51"/>
      <c r="H15" s="51"/>
      <c r="I15" s="51"/>
      <c r="J15" s="51"/>
      <c r="K15" s="51"/>
      <c r="L15" s="55">
        <f t="shared" si="1"/>
        <v>-7155</v>
      </c>
    </row>
    <row r="16" spans="1:12" ht="25.5" x14ac:dyDescent="0.2">
      <c r="A16" s="60" t="s">
        <v>132</v>
      </c>
      <c r="B16" s="61" t="s">
        <v>111</v>
      </c>
      <c r="C16" s="70">
        <v>47016</v>
      </c>
      <c r="D16" s="70">
        <v>-343</v>
      </c>
      <c r="E16" s="51"/>
      <c r="F16" s="70">
        <v>-1042</v>
      </c>
      <c r="G16" s="70">
        <v>50</v>
      </c>
      <c r="H16" s="70">
        <v>88</v>
      </c>
      <c r="I16" s="70">
        <v>5</v>
      </c>
      <c r="J16" s="51"/>
      <c r="K16" s="51"/>
      <c r="L16" s="55">
        <f t="shared" si="1"/>
        <v>45774</v>
      </c>
    </row>
    <row r="17" spans="1:12" ht="25.5" x14ac:dyDescent="0.2">
      <c r="A17" s="60" t="s">
        <v>133</v>
      </c>
      <c r="B17" s="61" t="s">
        <v>112</v>
      </c>
      <c r="C17" s="70">
        <v>47031</v>
      </c>
      <c r="D17" s="51"/>
      <c r="E17" s="51"/>
      <c r="F17" s="51"/>
      <c r="G17" s="51"/>
      <c r="H17" s="51"/>
      <c r="I17" s="51"/>
      <c r="J17" s="51"/>
      <c r="K17" s="51"/>
      <c r="L17" s="55">
        <f t="shared" si="1"/>
        <v>47031</v>
      </c>
    </row>
    <row r="18" spans="1:12" ht="25.5" x14ac:dyDescent="0.2">
      <c r="A18" s="60" t="s">
        <v>134</v>
      </c>
      <c r="B18" s="61" t="s">
        <v>113</v>
      </c>
      <c r="C18" s="70">
        <v>-14</v>
      </c>
      <c r="D18" s="51"/>
      <c r="E18" s="51"/>
      <c r="F18" s="51"/>
      <c r="G18" s="51"/>
      <c r="H18" s="51"/>
      <c r="I18" s="51"/>
      <c r="J18" s="51"/>
      <c r="K18" s="51"/>
      <c r="L18" s="55">
        <f t="shared" si="1"/>
        <v>-14</v>
      </c>
    </row>
    <row r="19" spans="1:12" ht="38.25" x14ac:dyDescent="0.2">
      <c r="A19" s="60" t="s">
        <v>135</v>
      </c>
      <c r="B19" s="61" t="s">
        <v>114</v>
      </c>
      <c r="C19" s="70">
        <v>31</v>
      </c>
      <c r="D19" s="51"/>
      <c r="E19" s="51"/>
      <c r="F19" s="51"/>
      <c r="G19" s="51"/>
      <c r="H19" s="51"/>
      <c r="I19" s="51"/>
      <c r="J19" s="51"/>
      <c r="K19" s="51"/>
      <c r="L19" s="55">
        <f t="shared" si="1"/>
        <v>31</v>
      </c>
    </row>
    <row r="20" spans="1:12" ht="38.25" x14ac:dyDescent="0.2">
      <c r="A20" s="60" t="s">
        <v>136</v>
      </c>
      <c r="B20" s="61" t="s">
        <v>115</v>
      </c>
      <c r="C20" s="70">
        <v>10592</v>
      </c>
      <c r="D20" s="51"/>
      <c r="E20" s="51"/>
      <c r="F20" s="51"/>
      <c r="G20" s="51"/>
      <c r="H20" s="51"/>
      <c r="I20" s="51"/>
      <c r="J20" s="51"/>
      <c r="K20" s="51"/>
      <c r="L20" s="55">
        <f t="shared" si="1"/>
        <v>10592</v>
      </c>
    </row>
    <row r="21" spans="1:12" ht="38.25" x14ac:dyDescent="0.2">
      <c r="A21" s="60" t="s">
        <v>137</v>
      </c>
      <c r="B21" s="61" t="s">
        <v>116</v>
      </c>
      <c r="C21" s="70">
        <v>30839</v>
      </c>
      <c r="D21" s="51"/>
      <c r="E21" s="51"/>
      <c r="F21" s="70">
        <v>2962</v>
      </c>
      <c r="G21" s="51"/>
      <c r="H21" s="51"/>
      <c r="I21" s="51"/>
      <c r="J21" s="51"/>
      <c r="K21" s="51"/>
      <c r="L21" s="55">
        <f t="shared" si="1"/>
        <v>33801</v>
      </c>
    </row>
    <row r="22" spans="1:12" ht="25.5" x14ac:dyDescent="0.2">
      <c r="A22" s="62" t="s">
        <v>138</v>
      </c>
      <c r="B22" s="63" t="s">
        <v>139</v>
      </c>
      <c r="C22" s="72">
        <f>+C2+C5+1</f>
        <v>4588322</v>
      </c>
      <c r="D22" s="72">
        <f t="shared" ref="D22:I22" si="2">+D2+D5</f>
        <v>406508</v>
      </c>
      <c r="E22" s="72">
        <f t="shared" si="2"/>
        <v>150969</v>
      </c>
      <c r="F22" s="72">
        <f t="shared" si="2"/>
        <v>1867106</v>
      </c>
      <c r="G22" s="72">
        <f t="shared" si="2"/>
        <v>175867</v>
      </c>
      <c r="H22" s="72">
        <f t="shared" si="2"/>
        <v>60086</v>
      </c>
      <c r="I22" s="72">
        <f t="shared" si="2"/>
        <v>99385</v>
      </c>
      <c r="J22" s="72">
        <f>+J2+J5-1</f>
        <v>27896</v>
      </c>
      <c r="K22" s="72">
        <f>+K2+K5</f>
        <v>21634</v>
      </c>
      <c r="L22" s="55">
        <f t="shared" si="1"/>
        <v>7397773</v>
      </c>
    </row>
    <row r="23" spans="1:12" ht="38.25" x14ac:dyDescent="0.2">
      <c r="A23" s="62" t="s">
        <v>140</v>
      </c>
      <c r="B23" s="63" t="s">
        <v>141</v>
      </c>
      <c r="C23" s="72">
        <v>4588322</v>
      </c>
      <c r="D23" s="72">
        <v>406508</v>
      </c>
      <c r="E23" s="72">
        <v>150969</v>
      </c>
      <c r="F23" s="72">
        <v>1867106</v>
      </c>
      <c r="G23" s="72">
        <v>175867</v>
      </c>
      <c r="H23" s="72">
        <v>60086</v>
      </c>
      <c r="I23" s="72">
        <v>99385</v>
      </c>
      <c r="J23" s="72">
        <v>27896</v>
      </c>
      <c r="K23" s="72">
        <v>21634</v>
      </c>
      <c r="L23" s="55">
        <f t="shared" si="1"/>
        <v>7397773</v>
      </c>
    </row>
    <row r="24" spans="1:12" ht="25.5" x14ac:dyDescent="0.2">
      <c r="A24" s="62" t="s">
        <v>142</v>
      </c>
      <c r="B24" s="63" t="s">
        <v>143</v>
      </c>
      <c r="C24" s="72">
        <v>40000</v>
      </c>
      <c r="D24" s="51"/>
      <c r="E24" s="51"/>
      <c r="F24" s="51"/>
      <c r="G24" s="51"/>
      <c r="H24" s="51"/>
      <c r="I24" s="51"/>
      <c r="J24" s="51"/>
      <c r="K24" s="51"/>
      <c r="L24" s="55">
        <f t="shared" si="1"/>
        <v>40000</v>
      </c>
    </row>
    <row r="25" spans="1:12" ht="25.5" x14ac:dyDescent="0.2">
      <c r="A25" s="62" t="s">
        <v>144</v>
      </c>
      <c r="B25" s="63" t="s">
        <v>145</v>
      </c>
      <c r="C25" s="72">
        <v>2500000</v>
      </c>
      <c r="D25" s="51"/>
      <c r="E25" s="51"/>
      <c r="F25" s="51"/>
      <c r="G25" s="51"/>
      <c r="H25" s="51"/>
      <c r="I25" s="51"/>
      <c r="J25" s="51"/>
      <c r="K25" s="51"/>
      <c r="L25" s="55">
        <f t="shared" si="1"/>
        <v>2500000</v>
      </c>
    </row>
    <row r="26" spans="1:12" ht="38.25" x14ac:dyDescent="0.2">
      <c r="A26" s="60" t="s">
        <v>146</v>
      </c>
      <c r="B26" s="61" t="s">
        <v>147</v>
      </c>
      <c r="C26" s="70">
        <v>2500000</v>
      </c>
      <c r="D26" s="51"/>
      <c r="E26" s="51"/>
      <c r="F26" s="51"/>
      <c r="G26" s="51"/>
      <c r="H26" s="51"/>
      <c r="I26" s="51"/>
      <c r="J26" s="51"/>
      <c r="K26" s="51"/>
      <c r="L26" s="55">
        <f t="shared" si="1"/>
        <v>2500000</v>
      </c>
    </row>
    <row r="27" spans="1:12" ht="25.5" x14ac:dyDescent="0.2">
      <c r="A27" s="62" t="s">
        <v>148</v>
      </c>
      <c r="B27" s="63" t="s">
        <v>149</v>
      </c>
      <c r="C27" s="72">
        <v>2540000</v>
      </c>
      <c r="D27" s="51"/>
      <c r="E27" s="51"/>
      <c r="F27" s="51"/>
      <c r="G27" s="51"/>
      <c r="H27" s="51"/>
      <c r="I27" s="51"/>
      <c r="J27" s="51"/>
      <c r="K27" s="51"/>
      <c r="L27" s="55">
        <f t="shared" si="1"/>
        <v>2540000</v>
      </c>
    </row>
    <row r="28" spans="1:12" ht="39" thickBot="1" x14ac:dyDescent="0.25">
      <c r="A28" s="64" t="s">
        <v>150</v>
      </c>
      <c r="B28" s="65" t="s">
        <v>151</v>
      </c>
      <c r="C28" s="75">
        <v>2540000</v>
      </c>
      <c r="D28" s="56"/>
      <c r="E28" s="56"/>
      <c r="F28" s="56"/>
      <c r="G28" s="56"/>
      <c r="H28" s="56"/>
      <c r="I28" s="56"/>
      <c r="J28" s="56"/>
      <c r="K28" s="56"/>
      <c r="L28" s="57">
        <f t="shared" si="1"/>
        <v>2540000</v>
      </c>
    </row>
  </sheetData>
  <mergeCells count="1">
    <mergeCell ref="A1:B1"/>
  </mergeCells>
  <pageMargins left="0.34" right="0.84" top="0.66" bottom="0.7" header="0.28000000000000003" footer="0.17"/>
  <pageSetup paperSize="9" scale="70" orientation="landscape" r:id="rId1"/>
  <headerFooter>
    <oddHeader xml:space="preserve">&amp;L 4. melléklet 3. tájékoztató tábla&amp;C2021. évi pénzkészlet változás
BUDAPEST I. KERÜLET BUDAVÁRI ÖNKORMÁNYZAT ÉS INTÉZMÉNYEI&amp;R
Adatok eFt-ban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showZeros="0" tabSelected="1" view="pageBreakPreview" zoomScaleNormal="100" zoomScaleSheetLayoutView="100" workbookViewId="0">
      <selection activeCell="E8" sqref="E8"/>
    </sheetView>
  </sheetViews>
  <sheetFormatPr defaultColWidth="12.42578125" defaultRowHeight="18.75" customHeight="1" x14ac:dyDescent="0.25"/>
  <cols>
    <col min="1" max="1" width="37" style="1" customWidth="1"/>
    <col min="2" max="12" width="13" style="2" customWidth="1"/>
    <col min="13" max="13" width="23.42578125" style="2" customWidth="1"/>
    <col min="14" max="14" width="13" style="3" customWidth="1"/>
    <col min="15" max="16" width="12.42578125" style="2" customWidth="1"/>
    <col min="17" max="245" width="12.42578125" style="2"/>
    <col min="246" max="249" width="12.42578125" style="4"/>
    <col min="250" max="16384" width="12.42578125" style="5"/>
  </cols>
  <sheetData>
    <row r="1" spans="1:254" ht="23.85" customHeight="1" x14ac:dyDescent="0.25">
      <c r="A1" s="90" t="s">
        <v>0</v>
      </c>
      <c r="B1" s="91" t="s">
        <v>1</v>
      </c>
      <c r="C1" s="91" t="s">
        <v>2</v>
      </c>
      <c r="D1" s="91" t="s">
        <v>3</v>
      </c>
      <c r="E1" s="91" t="s">
        <v>4</v>
      </c>
      <c r="F1" s="91" t="s">
        <v>5</v>
      </c>
      <c r="G1" s="91" t="s">
        <v>6</v>
      </c>
      <c r="H1" s="91" t="s">
        <v>7</v>
      </c>
      <c r="I1" s="91" t="s">
        <v>8</v>
      </c>
      <c r="J1" s="91" t="s">
        <v>9</v>
      </c>
      <c r="K1" s="91" t="s">
        <v>10</v>
      </c>
      <c r="L1" s="91" t="s">
        <v>11</v>
      </c>
    </row>
    <row r="2" spans="1:254" s="6" customFormat="1" ht="23.85" customHeight="1" x14ac:dyDescent="0.25">
      <c r="A2" s="92" t="s">
        <v>12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N2" s="3"/>
      <c r="IL2" s="4"/>
      <c r="IM2" s="4"/>
      <c r="IN2" s="4"/>
      <c r="IO2" s="4"/>
      <c r="IP2" s="5"/>
      <c r="IQ2" s="5"/>
      <c r="IR2" s="5"/>
      <c r="IS2" s="5"/>
      <c r="IT2" s="5"/>
    </row>
    <row r="3" spans="1:254" s="10" customFormat="1" ht="23.85" customHeight="1" x14ac:dyDescent="0.25">
      <c r="A3" s="76" t="s">
        <v>13</v>
      </c>
      <c r="B3" s="77">
        <v>644704</v>
      </c>
      <c r="C3" s="77">
        <f>948143-B3</f>
        <v>303439</v>
      </c>
      <c r="D3" s="77">
        <f>1177981-SUM(B3:C3)</f>
        <v>229838</v>
      </c>
      <c r="E3" s="77">
        <f>1455867-SUM(B3:D3)</f>
        <v>277886</v>
      </c>
      <c r="F3" s="77">
        <f>1807793-SUM(B3:E3)</f>
        <v>351926</v>
      </c>
      <c r="G3" s="77">
        <f>2040425-SUM(B3:F3)</f>
        <v>232632</v>
      </c>
      <c r="H3" s="77">
        <f>2273252-SUM(B3:G3)</f>
        <v>232827</v>
      </c>
      <c r="I3" s="77">
        <f>2513490-SUM(B3:H3)</f>
        <v>240238</v>
      </c>
      <c r="J3" s="77">
        <f>2757328-SUM(B3:I3)</f>
        <v>243838</v>
      </c>
      <c r="K3" s="78">
        <f>3158589-SUM(B3:J3)</f>
        <v>401261</v>
      </c>
      <c r="L3" s="78">
        <f>SUM(B3:K3)</f>
        <v>3158589</v>
      </c>
      <c r="M3" s="27">
        <v>3158589</v>
      </c>
      <c r="N3" s="8">
        <f>+L3-M3</f>
        <v>0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9"/>
      <c r="IM3" s="9"/>
      <c r="IN3" s="9"/>
      <c r="IO3" s="9"/>
    </row>
    <row r="4" spans="1:254" s="10" customFormat="1" ht="23.85" customHeight="1" x14ac:dyDescent="0.25">
      <c r="A4" s="76" t="s">
        <v>14</v>
      </c>
      <c r="B4" s="77">
        <v>103214</v>
      </c>
      <c r="C4" s="77">
        <f>149903-B4</f>
        <v>46689</v>
      </c>
      <c r="D4" s="77">
        <f>188825-SUM(B4:C4)</f>
        <v>38922</v>
      </c>
      <c r="E4" s="77">
        <f>227911-SUM(B4:D4)</f>
        <v>39086</v>
      </c>
      <c r="F4" s="77">
        <f>287786-SUM(B4:E4)</f>
        <v>59875</v>
      </c>
      <c r="G4" s="77">
        <f>-SUM(B4:F4)+321784</f>
        <v>33998</v>
      </c>
      <c r="H4" s="77">
        <f>-SUM(B4:G4)+355362</f>
        <v>33578</v>
      </c>
      <c r="I4" s="77">
        <f>-SUM(B4:H4)+396523</f>
        <v>41161</v>
      </c>
      <c r="J4" s="77">
        <f>-SUM(B4:I4)+430172</f>
        <v>33649</v>
      </c>
      <c r="K4" s="78">
        <f>-SUM(B4:J4)+491280</f>
        <v>61108</v>
      </c>
      <c r="L4" s="78">
        <f>SUM(B4:K4)</f>
        <v>491280</v>
      </c>
      <c r="M4" s="27">
        <v>491280</v>
      </c>
      <c r="N4" s="8">
        <f t="shared" ref="N4:N7" si="0">+L4-M4</f>
        <v>0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9"/>
      <c r="IM4" s="9"/>
      <c r="IN4" s="9"/>
      <c r="IO4" s="9"/>
    </row>
    <row r="5" spans="1:254" s="10" customFormat="1" ht="20.25" customHeight="1" x14ac:dyDescent="0.25">
      <c r="A5" s="76" t="s">
        <v>15</v>
      </c>
      <c r="B5" s="77">
        <v>1058474</v>
      </c>
      <c r="C5" s="77">
        <f>1331161-B5</f>
        <v>272687</v>
      </c>
      <c r="D5" s="77">
        <f>-SUM(B5:C5)+1566063</f>
        <v>234902</v>
      </c>
      <c r="E5" s="77">
        <f>-SUM(B5:D5)+1901669</f>
        <v>335606</v>
      </c>
      <c r="F5" s="77">
        <f>-SUM(B5:E5)+2141895</f>
        <v>240226</v>
      </c>
      <c r="G5" s="77">
        <f>-SUM(B5:F5)+2379181</f>
        <v>237286</v>
      </c>
      <c r="H5" s="77">
        <f>-SUM(B5:G5)+2737925</f>
        <v>358744</v>
      </c>
      <c r="I5" s="77">
        <f>-SUM(B5:H5)+3166046</f>
        <v>428121</v>
      </c>
      <c r="J5" s="77">
        <f>-SUM(B5:I5)+3536906</f>
        <v>370860</v>
      </c>
      <c r="K5" s="78">
        <f>-SUM(B5:J5)+4140729</f>
        <v>603823</v>
      </c>
      <c r="L5" s="78">
        <f>SUM(B5:K5)</f>
        <v>4140729</v>
      </c>
      <c r="M5" s="27">
        <v>4140729</v>
      </c>
      <c r="N5" s="8">
        <f t="shared" si="0"/>
        <v>0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9"/>
      <c r="IM5" s="9"/>
      <c r="IN5" s="9"/>
      <c r="IO5" s="9"/>
    </row>
    <row r="6" spans="1:254" s="10" customFormat="1" ht="23.85" customHeight="1" x14ac:dyDescent="0.25">
      <c r="A6" s="76" t="s">
        <v>16</v>
      </c>
      <c r="B6" s="77">
        <v>23259</v>
      </c>
      <c r="C6" s="77">
        <f>57660-B6</f>
        <v>34401</v>
      </c>
      <c r="D6" s="77">
        <f>-SUM(B6:C6)+67250</f>
        <v>9590</v>
      </c>
      <c r="E6" s="77">
        <f>-SUM(B6:D6)+76455</f>
        <v>9205</v>
      </c>
      <c r="F6" s="77">
        <f>-SUM(B6:E6)+84517</f>
        <v>8062</v>
      </c>
      <c r="G6" s="77">
        <f>-SUM(B6:F6)+94964</f>
        <v>10447</v>
      </c>
      <c r="H6" s="77">
        <f>-SUM(B6:G6)+101854</f>
        <v>6890</v>
      </c>
      <c r="I6" s="77">
        <f>-SUM(B6:H6)+115617</f>
        <v>13763</v>
      </c>
      <c r="J6" s="77">
        <f>-SUM(B6:I6)+122457</f>
        <v>6840</v>
      </c>
      <c r="K6" s="78">
        <f>-SUM(B6:J6)+142817</f>
        <v>20360</v>
      </c>
      <c r="L6" s="78">
        <f>SUM(B6:K6)</f>
        <v>142817</v>
      </c>
      <c r="M6" s="27">
        <v>142817</v>
      </c>
      <c r="N6" s="8">
        <f t="shared" si="0"/>
        <v>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9"/>
      <c r="IM6" s="9"/>
      <c r="IN6" s="9"/>
      <c r="IO6" s="9"/>
    </row>
    <row r="7" spans="1:254" s="10" customFormat="1" ht="23.85" customHeight="1" x14ac:dyDescent="0.25">
      <c r="A7" s="76" t="s">
        <v>17</v>
      </c>
      <c r="B7" s="77">
        <v>212054</v>
      </c>
      <c r="C7" s="77">
        <f>272916-B7</f>
        <v>60862</v>
      </c>
      <c r="D7" s="77">
        <f>-SUM(B7:C7)+319109</f>
        <v>46193</v>
      </c>
      <c r="E7" s="77">
        <f>-SUM(B7:D7)+458602</f>
        <v>139493</v>
      </c>
      <c r="F7" s="77">
        <f>-SUM(B7:E7)+497114</f>
        <v>38512</v>
      </c>
      <c r="G7" s="77">
        <f>-SUM(B7:F7)+681153</f>
        <v>184039</v>
      </c>
      <c r="H7" s="77">
        <f>-SUM(B7:G7)+737177</f>
        <v>56024</v>
      </c>
      <c r="I7" s="77">
        <f>-SUM(B7:H7)+791933</f>
        <v>54756</v>
      </c>
      <c r="J7" s="77">
        <f>-SUM(B7:I7)+862567</f>
        <v>70634</v>
      </c>
      <c r="K7" s="78">
        <f>-SUM(B7:J7)+948653</f>
        <v>86086</v>
      </c>
      <c r="L7" s="78">
        <f>SUM(B7:K7)</f>
        <v>948653</v>
      </c>
      <c r="M7" s="27">
        <v>948653</v>
      </c>
      <c r="N7" s="8">
        <f t="shared" si="0"/>
        <v>0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9"/>
      <c r="IM7" s="9"/>
      <c r="IN7" s="9"/>
      <c r="IO7" s="9"/>
    </row>
    <row r="8" spans="1:254" s="12" customFormat="1" ht="29.25" customHeight="1" x14ac:dyDescent="0.25">
      <c r="A8" s="79" t="s">
        <v>18</v>
      </c>
      <c r="B8" s="80">
        <f t="shared" ref="B8:L8" si="1">SUM(B3:B7)</f>
        <v>2041705</v>
      </c>
      <c r="C8" s="80">
        <f t="shared" si="1"/>
        <v>718078</v>
      </c>
      <c r="D8" s="80">
        <f t="shared" si="1"/>
        <v>559445</v>
      </c>
      <c r="E8" s="80">
        <f t="shared" si="1"/>
        <v>801276</v>
      </c>
      <c r="F8" s="80">
        <f t="shared" si="1"/>
        <v>698601</v>
      </c>
      <c r="G8" s="80">
        <f t="shared" si="1"/>
        <v>698402</v>
      </c>
      <c r="H8" s="80">
        <f t="shared" si="1"/>
        <v>688063</v>
      </c>
      <c r="I8" s="80">
        <f t="shared" si="1"/>
        <v>778039</v>
      </c>
      <c r="J8" s="80">
        <f t="shared" si="1"/>
        <v>725821</v>
      </c>
      <c r="K8" s="80">
        <f t="shared" si="1"/>
        <v>1172638</v>
      </c>
      <c r="L8" s="80">
        <f t="shared" si="1"/>
        <v>8882068</v>
      </c>
      <c r="M8" s="12">
        <f>SUM(M3:M7)</f>
        <v>8882068</v>
      </c>
      <c r="N8" s="8"/>
      <c r="IL8" s="9"/>
      <c r="IM8" s="9"/>
      <c r="IN8" s="9"/>
      <c r="IO8" s="9"/>
      <c r="IP8" s="10"/>
      <c r="IQ8" s="10"/>
      <c r="IR8" s="10"/>
      <c r="IS8" s="10"/>
      <c r="IT8" s="10"/>
    </row>
    <row r="9" spans="1:254" s="10" customFormat="1" ht="23.85" customHeight="1" x14ac:dyDescent="0.25">
      <c r="A9" s="76" t="s">
        <v>19</v>
      </c>
      <c r="B9" s="77">
        <v>548412</v>
      </c>
      <c r="C9" s="77">
        <f>591644-B9</f>
        <v>43232</v>
      </c>
      <c r="D9" s="77">
        <f>-SUM(B9:C9)+614597</f>
        <v>22953</v>
      </c>
      <c r="E9" s="77">
        <f>-SUM(B9:D9)+625469</f>
        <v>10872</v>
      </c>
      <c r="F9" s="77">
        <f>-SUM(B9:E9)+653499</f>
        <v>28030</v>
      </c>
      <c r="G9" s="77">
        <f>-SUM(B9:F9)+671331</f>
        <v>17832</v>
      </c>
      <c r="H9" s="77">
        <f>-SUM(B9:G9)+691494</f>
        <v>20163</v>
      </c>
      <c r="I9" s="77">
        <f>-SUM(B9:H9)+717983</f>
        <v>26489</v>
      </c>
      <c r="J9" s="77">
        <f>-SUM(B9:I9)+744895</f>
        <v>26912</v>
      </c>
      <c r="K9" s="81">
        <f>-SUM(B9:J9)+864993</f>
        <v>120098</v>
      </c>
      <c r="L9" s="78">
        <f>SUM(B9:K9)</f>
        <v>864993</v>
      </c>
      <c r="M9" s="27">
        <v>864993</v>
      </c>
      <c r="N9" s="8">
        <f t="shared" ref="N9:N11" si="2">+L9-M9</f>
        <v>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9"/>
      <c r="IM9" s="9"/>
      <c r="IN9" s="9"/>
      <c r="IO9" s="9"/>
    </row>
    <row r="10" spans="1:254" s="10" customFormat="1" ht="23.85" customHeight="1" x14ac:dyDescent="0.25">
      <c r="A10" s="76" t="s">
        <v>20</v>
      </c>
      <c r="B10" s="77">
        <v>157370</v>
      </c>
      <c r="C10" s="77">
        <f>286457-B10</f>
        <v>129087</v>
      </c>
      <c r="D10" s="77">
        <f>-SUM(B10:C10)+339425</f>
        <v>52968</v>
      </c>
      <c r="E10" s="77">
        <f>-SUM(B10:D10)+393356</f>
        <v>53931</v>
      </c>
      <c r="F10" s="77">
        <f>-SUM(B10:E10)+478951</f>
        <v>85595</v>
      </c>
      <c r="G10" s="77">
        <f>-SUM(B10:F10)+524770</f>
        <v>45819</v>
      </c>
      <c r="H10" s="77">
        <f>-SUM(B10:G10)+561436</f>
        <v>36666</v>
      </c>
      <c r="I10" s="77">
        <f>-SUM(B10:H10)+644683</f>
        <v>83247</v>
      </c>
      <c r="J10" s="77">
        <f>-SUM(B10:I10)+645572</f>
        <v>889</v>
      </c>
      <c r="K10" s="81">
        <f>-SUM(B10:J10)+721307</f>
        <v>75735</v>
      </c>
      <c r="L10" s="78">
        <f>SUM(B10:K10)</f>
        <v>721307</v>
      </c>
      <c r="M10" s="27">
        <v>721307</v>
      </c>
      <c r="N10" s="8">
        <f t="shared" si="2"/>
        <v>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9"/>
      <c r="IM10" s="9"/>
      <c r="IN10" s="9"/>
      <c r="IO10" s="9"/>
    </row>
    <row r="11" spans="1:254" s="10" customFormat="1" ht="23.85" customHeight="1" x14ac:dyDescent="0.25">
      <c r="A11" s="76" t="s">
        <v>21</v>
      </c>
      <c r="B11" s="77">
        <v>19407</v>
      </c>
      <c r="C11" s="77">
        <f>21821-B11</f>
        <v>2414</v>
      </c>
      <c r="D11" s="77">
        <f>-SUM(B11:C11)+27134</f>
        <v>5313</v>
      </c>
      <c r="E11" s="77">
        <f>-SUM(B11:D11)+27134</f>
        <v>0</v>
      </c>
      <c r="F11" s="77">
        <f>-SUM(B11:E11)+34039</f>
        <v>6905</v>
      </c>
      <c r="G11" s="77">
        <f>-SUM(B11:F11)+34039</f>
        <v>0</v>
      </c>
      <c r="H11" s="77">
        <f>-SUM(B11:G11)+37806</f>
        <v>3767</v>
      </c>
      <c r="I11" s="77">
        <f>-SUM(B11:H11)+42080</f>
        <v>4274</v>
      </c>
      <c r="J11" s="77">
        <f>-SUM(B11:I11)+43580</f>
        <v>1500</v>
      </c>
      <c r="K11" s="81">
        <f>-SUM(B11:J11)+88746</f>
        <v>45166</v>
      </c>
      <c r="L11" s="78">
        <f>SUM(B11:K11)</f>
        <v>88746</v>
      </c>
      <c r="M11" s="27">
        <v>88746</v>
      </c>
      <c r="N11" s="8">
        <f t="shared" si="2"/>
        <v>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9"/>
      <c r="IM11" s="9"/>
      <c r="IN11" s="9"/>
      <c r="IO11" s="9"/>
    </row>
    <row r="12" spans="1:254" s="12" customFormat="1" ht="32.25" customHeight="1" x14ac:dyDescent="0.25">
      <c r="A12" s="79" t="s">
        <v>22</v>
      </c>
      <c r="B12" s="80">
        <f t="shared" ref="B12:L12" si="3">SUM(B9:B11)</f>
        <v>725189</v>
      </c>
      <c r="C12" s="80">
        <f t="shared" si="3"/>
        <v>174733</v>
      </c>
      <c r="D12" s="80">
        <f t="shared" si="3"/>
        <v>81234</v>
      </c>
      <c r="E12" s="80">
        <f t="shared" si="3"/>
        <v>64803</v>
      </c>
      <c r="F12" s="80">
        <f t="shared" si="3"/>
        <v>120530</v>
      </c>
      <c r="G12" s="80">
        <f t="shared" si="3"/>
        <v>63651</v>
      </c>
      <c r="H12" s="80">
        <f t="shared" si="3"/>
        <v>60596</v>
      </c>
      <c r="I12" s="80">
        <f t="shared" si="3"/>
        <v>114010</v>
      </c>
      <c r="J12" s="80">
        <f t="shared" si="3"/>
        <v>29301</v>
      </c>
      <c r="K12" s="80">
        <f t="shared" si="3"/>
        <v>240999</v>
      </c>
      <c r="L12" s="80">
        <f t="shared" si="3"/>
        <v>1675046</v>
      </c>
      <c r="M12" s="12">
        <f>SUM(M9:M11)</f>
        <v>1675046</v>
      </c>
      <c r="N12" s="8"/>
      <c r="IL12" s="9"/>
      <c r="IM12" s="9"/>
      <c r="IN12" s="9"/>
      <c r="IO12" s="9"/>
      <c r="IP12" s="10"/>
      <c r="IQ12" s="10"/>
      <c r="IR12" s="10"/>
      <c r="IS12" s="10"/>
      <c r="IT12" s="10"/>
    </row>
    <row r="13" spans="1:254" s="12" customFormat="1" ht="23.85" customHeight="1" x14ac:dyDescent="0.25">
      <c r="A13" s="79" t="s">
        <v>23</v>
      </c>
      <c r="B13" s="80">
        <v>52604</v>
      </c>
      <c r="C13" s="80">
        <f>164208-B13</f>
        <v>111604</v>
      </c>
      <c r="D13" s="80">
        <f>-SUM(B13:C13)+196899</f>
        <v>32691</v>
      </c>
      <c r="E13" s="80">
        <f>-SUM(B13:D13)+223085</f>
        <v>26186</v>
      </c>
      <c r="F13" s="80">
        <f>-SUM(B13:E13)+305730</f>
        <v>82645</v>
      </c>
      <c r="G13" s="80">
        <f>-SUM(B13:F13)+329367</f>
        <v>23637</v>
      </c>
      <c r="H13" s="80">
        <f>-SUM(B13:G13)+351064</f>
        <v>21697</v>
      </c>
      <c r="I13" s="80">
        <f>-SUM(B13:H13)+(2500000+375354)</f>
        <v>2524290</v>
      </c>
      <c r="J13" s="80">
        <f>-SUM(B13:I13)+(2500000+398195)</f>
        <v>22841</v>
      </c>
      <c r="K13" s="80">
        <f>-SUM(B13:J13)+3038009</f>
        <v>139814</v>
      </c>
      <c r="L13" s="80">
        <f>SUM(B13:K13)</f>
        <v>3038009</v>
      </c>
      <c r="M13" s="7">
        <f>2500000+538009</f>
        <v>3038009</v>
      </c>
      <c r="N13" s="8">
        <f>+L13-M13</f>
        <v>0</v>
      </c>
      <c r="IL13" s="9"/>
      <c r="IM13" s="9"/>
      <c r="IN13" s="9"/>
      <c r="IO13" s="9"/>
      <c r="IP13" s="10"/>
      <c r="IQ13" s="10"/>
      <c r="IR13" s="10"/>
      <c r="IS13" s="10"/>
      <c r="IT13" s="10"/>
    </row>
    <row r="14" spans="1:254" s="13" customFormat="1" ht="23.85" customHeight="1" x14ac:dyDescent="0.25">
      <c r="A14" s="82" t="s">
        <v>24</v>
      </c>
      <c r="B14" s="83">
        <f t="shared" ref="B14:L14" si="4">B8+B12+B13</f>
        <v>2819498</v>
      </c>
      <c r="C14" s="83">
        <f t="shared" si="4"/>
        <v>1004415</v>
      </c>
      <c r="D14" s="83">
        <f t="shared" si="4"/>
        <v>673370</v>
      </c>
      <c r="E14" s="83">
        <f t="shared" si="4"/>
        <v>892265</v>
      </c>
      <c r="F14" s="83">
        <f t="shared" si="4"/>
        <v>901776</v>
      </c>
      <c r="G14" s="83">
        <f t="shared" si="4"/>
        <v>785690</v>
      </c>
      <c r="H14" s="83">
        <f t="shared" si="4"/>
        <v>770356</v>
      </c>
      <c r="I14" s="83">
        <f t="shared" si="4"/>
        <v>3416339</v>
      </c>
      <c r="J14" s="83">
        <f t="shared" si="4"/>
        <v>777963</v>
      </c>
      <c r="K14" s="83">
        <f t="shared" si="4"/>
        <v>1553451</v>
      </c>
      <c r="L14" s="83">
        <f t="shared" si="4"/>
        <v>13595123</v>
      </c>
      <c r="M14" s="13">
        <f>+M13+M12+M8</f>
        <v>13595123</v>
      </c>
      <c r="N14" s="14">
        <f>+L14-M14</f>
        <v>0</v>
      </c>
      <c r="IL14" s="15"/>
      <c r="IM14" s="15"/>
      <c r="IN14" s="15"/>
      <c r="IO14" s="15"/>
      <c r="IP14" s="16"/>
      <c r="IQ14" s="16"/>
      <c r="IR14" s="16"/>
      <c r="IS14" s="16"/>
      <c r="IT14" s="16"/>
    </row>
    <row r="15" spans="1:254" s="18" customFormat="1" ht="23.85" customHeight="1" x14ac:dyDescent="0.25">
      <c r="A15" s="17" t="s">
        <v>25</v>
      </c>
      <c r="L15" s="18">
        <f t="shared" ref="L15:L23" si="5">SUM(B15:K15)</f>
        <v>0</v>
      </c>
      <c r="N15" s="8"/>
      <c r="IL15" s="9"/>
      <c r="IM15" s="9"/>
      <c r="IN15" s="9"/>
      <c r="IO15" s="9"/>
      <c r="IP15" s="10"/>
      <c r="IQ15" s="10"/>
      <c r="IR15" s="10"/>
      <c r="IS15" s="10"/>
      <c r="IT15" s="10"/>
    </row>
    <row r="16" spans="1:254" s="10" customFormat="1" ht="29.25" customHeight="1" x14ac:dyDescent="0.25">
      <c r="A16" s="76" t="s">
        <v>26</v>
      </c>
      <c r="B16" s="77">
        <v>610614</v>
      </c>
      <c r="C16" s="77">
        <f>747306-B16</f>
        <v>136692</v>
      </c>
      <c r="D16" s="77">
        <f>-SUM(B16:C16)+939273</f>
        <v>191967</v>
      </c>
      <c r="E16" s="77">
        <f>-SUM(B16:D16)+1139297</f>
        <v>200024</v>
      </c>
      <c r="F16" s="77">
        <f>-SUM(B16:E16)+1328235</f>
        <v>188938</v>
      </c>
      <c r="G16" s="77">
        <f>-SUM(B16:F16)+1515404</f>
        <v>187169</v>
      </c>
      <c r="H16" s="77">
        <f>-SUM(B16:G16)+1702683</f>
        <v>187279</v>
      </c>
      <c r="I16" s="77">
        <f>-SUM(B16:H16)+1889470</f>
        <v>186787</v>
      </c>
      <c r="J16" s="77">
        <f>-SUM(B16:I16)+2078210</f>
        <v>188740</v>
      </c>
      <c r="K16" s="78">
        <f>-SUM(B16:J16)+2272473</f>
        <v>194263</v>
      </c>
      <c r="L16" s="78">
        <f t="shared" si="5"/>
        <v>2272473</v>
      </c>
      <c r="M16" s="27">
        <v>2272473</v>
      </c>
      <c r="N16" s="8">
        <f t="shared" ref="N16:N19" si="6">+L16-M16</f>
        <v>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9"/>
      <c r="IM16" s="9"/>
      <c r="IN16" s="9"/>
      <c r="IO16" s="9"/>
    </row>
    <row r="17" spans="1:254" s="10" customFormat="1" ht="23.85" customHeight="1" x14ac:dyDescent="0.25">
      <c r="A17" s="76" t="s">
        <v>27</v>
      </c>
      <c r="B17" s="77">
        <v>375603</v>
      </c>
      <c r="C17" s="77">
        <f>1135053-B17</f>
        <v>759450</v>
      </c>
      <c r="D17" s="77">
        <f>-SUM(B17:C17)+1200619</f>
        <v>65566</v>
      </c>
      <c r="E17" s="77">
        <f>-SUM(B17:D17)+1530462</f>
        <v>329843</v>
      </c>
      <c r="F17" s="77">
        <f>-SUM(B17:E17)+1538002</f>
        <v>7540</v>
      </c>
      <c r="G17" s="77">
        <f>-SUM(B17:F17)+1608072</f>
        <v>70070</v>
      </c>
      <c r="H17" s="77">
        <f>-SUM(B17:G17)+1931515</f>
        <v>323443</v>
      </c>
      <c r="I17" s="77">
        <f>-SUM(B17:H17)+2748425</f>
        <v>816910</v>
      </c>
      <c r="J17" s="77">
        <f>-SUM(B17:I17)+2828272</f>
        <v>79847</v>
      </c>
      <c r="K17" s="78">
        <f>-SUM(B17:J17)+2965516</f>
        <v>137244</v>
      </c>
      <c r="L17" s="78">
        <f t="shared" si="5"/>
        <v>2965516</v>
      </c>
      <c r="M17" s="27">
        <v>2965516</v>
      </c>
      <c r="N17" s="8">
        <f t="shared" si="6"/>
        <v>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9"/>
      <c r="IM17" s="9"/>
      <c r="IN17" s="9"/>
      <c r="IO17" s="9"/>
    </row>
    <row r="18" spans="1:254" s="10" customFormat="1" ht="23.85" customHeight="1" x14ac:dyDescent="0.25">
      <c r="A18" s="76" t="s">
        <v>28</v>
      </c>
      <c r="B18" s="77">
        <v>409628</v>
      </c>
      <c r="C18" s="77">
        <f>517942-B18</f>
        <v>108314</v>
      </c>
      <c r="D18" s="77">
        <f>-SUM(B18:C18)+623768</f>
        <v>105826</v>
      </c>
      <c r="E18" s="77">
        <f>-SUM(B18:D18)+877808</f>
        <v>254040</v>
      </c>
      <c r="F18" s="77">
        <f>-SUM(B18:E18)+1105119</f>
        <v>227311</v>
      </c>
      <c r="G18" s="77">
        <f>-SUM(B18:F18)+1457421</f>
        <v>352302</v>
      </c>
      <c r="H18" s="77">
        <f>-SUM(B18:G18)+1755359</f>
        <v>297938</v>
      </c>
      <c r="I18" s="77">
        <f>-SUM(B18:H18)+2294676</f>
        <v>539317</v>
      </c>
      <c r="J18" s="77">
        <f>-SUM(B18:I18)+2607061</f>
        <v>312385</v>
      </c>
      <c r="K18" s="78">
        <f>-SUM(B18:J18)+2957046</f>
        <v>349985</v>
      </c>
      <c r="L18" s="78">
        <f t="shared" si="5"/>
        <v>2957046</v>
      </c>
      <c r="M18" s="27">
        <v>2957046</v>
      </c>
      <c r="N18" s="8">
        <f t="shared" si="6"/>
        <v>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9"/>
      <c r="IM18" s="9"/>
      <c r="IN18" s="9"/>
      <c r="IO18" s="9"/>
    </row>
    <row r="19" spans="1:254" s="10" customFormat="1" ht="23.85" customHeight="1" x14ac:dyDescent="0.25">
      <c r="A19" s="76" t="s">
        <v>29</v>
      </c>
      <c r="B19" s="77">
        <v>2310</v>
      </c>
      <c r="C19" s="77">
        <f>2310-B19</f>
        <v>0</v>
      </c>
      <c r="D19" s="77">
        <f>-SUM(B19:C19)+3237</f>
        <v>927</v>
      </c>
      <c r="E19" s="77">
        <f>-SUM(B19:D19)+3237</f>
        <v>0</v>
      </c>
      <c r="F19" s="77">
        <f>-SUM(B19:E19)+10887</f>
        <v>7650</v>
      </c>
      <c r="G19" s="77">
        <f>-SUM(B19:F19)+11587</f>
        <v>700</v>
      </c>
      <c r="H19" s="77">
        <f>-SUM(B19:G19)+11587</f>
        <v>0</v>
      </c>
      <c r="I19" s="77">
        <f>-SUM(B19:H19)+11587</f>
        <v>0</v>
      </c>
      <c r="J19" s="77">
        <f>-SUM(B19:I19)+14977</f>
        <v>3390</v>
      </c>
      <c r="K19" s="78">
        <f>-SUM(B19:J19)+15655</f>
        <v>678</v>
      </c>
      <c r="L19" s="78">
        <f t="shared" si="5"/>
        <v>15655</v>
      </c>
      <c r="M19" s="27">
        <v>15655</v>
      </c>
      <c r="N19" s="8">
        <f t="shared" si="6"/>
        <v>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9"/>
      <c r="IM19" s="9"/>
      <c r="IN19" s="9"/>
      <c r="IO19" s="9"/>
    </row>
    <row r="20" spans="1:254" s="12" customFormat="1" ht="30.2" customHeight="1" x14ac:dyDescent="0.25">
      <c r="A20" s="79" t="s">
        <v>30</v>
      </c>
      <c r="B20" s="80">
        <f t="shared" ref="B20:K20" si="7">SUM(B16:B19)</f>
        <v>1398155</v>
      </c>
      <c r="C20" s="80">
        <f t="shared" si="7"/>
        <v>1004456</v>
      </c>
      <c r="D20" s="80">
        <f t="shared" si="7"/>
        <v>364286</v>
      </c>
      <c r="E20" s="80">
        <f t="shared" si="7"/>
        <v>783907</v>
      </c>
      <c r="F20" s="80">
        <f t="shared" si="7"/>
        <v>431439</v>
      </c>
      <c r="G20" s="80">
        <f t="shared" si="7"/>
        <v>610241</v>
      </c>
      <c r="H20" s="80">
        <f t="shared" si="7"/>
        <v>808660</v>
      </c>
      <c r="I20" s="80">
        <f t="shared" si="7"/>
        <v>1543014</v>
      </c>
      <c r="J20" s="80">
        <f t="shared" si="7"/>
        <v>584362</v>
      </c>
      <c r="K20" s="80">
        <f t="shared" si="7"/>
        <v>682170</v>
      </c>
      <c r="L20" s="80">
        <f t="shared" si="5"/>
        <v>8210690</v>
      </c>
      <c r="M20" s="12">
        <f>SUM(M16:M19)</f>
        <v>8210690</v>
      </c>
      <c r="N20" s="8"/>
      <c r="IL20" s="9"/>
      <c r="IM20" s="9"/>
      <c r="IN20" s="9"/>
      <c r="IO20" s="9"/>
      <c r="IP20" s="10"/>
      <c r="IQ20" s="10"/>
      <c r="IR20" s="10"/>
      <c r="IS20" s="10"/>
      <c r="IT20" s="10"/>
    </row>
    <row r="21" spans="1:254" s="10" customFormat="1" ht="25.5" x14ac:dyDescent="0.25">
      <c r="A21" s="85" t="s">
        <v>31</v>
      </c>
      <c r="B21" s="78"/>
      <c r="C21" s="78"/>
      <c r="D21" s="86"/>
      <c r="E21" s="78"/>
      <c r="F21" s="78"/>
      <c r="G21" s="78"/>
      <c r="H21" s="78"/>
      <c r="I21" s="78"/>
      <c r="J21" s="78"/>
      <c r="K21" s="78">
        <v>0</v>
      </c>
      <c r="L21" s="78">
        <f t="shared" si="5"/>
        <v>0</v>
      </c>
      <c r="M21" s="27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9"/>
      <c r="IM21" s="9"/>
      <c r="IN21" s="9"/>
      <c r="IO21" s="9"/>
    </row>
    <row r="22" spans="1:254" s="10" customFormat="1" ht="24" customHeight="1" x14ac:dyDescent="0.25">
      <c r="A22" s="85" t="s">
        <v>32</v>
      </c>
      <c r="B22" s="77">
        <v>3599</v>
      </c>
      <c r="C22" s="77">
        <f>4427-B22</f>
        <v>828</v>
      </c>
      <c r="D22" s="77">
        <f>-SUM(B22:C22)+18667</f>
        <v>14240</v>
      </c>
      <c r="E22" s="77">
        <f>-SUM(B22:D22)+17546+1121</f>
        <v>0</v>
      </c>
      <c r="F22" s="77">
        <f>-SUM(B22:E22)+18778</f>
        <v>111</v>
      </c>
      <c r="G22" s="77">
        <f>-SUM(B22:F22)+748413</f>
        <v>729635</v>
      </c>
      <c r="H22" s="87">
        <f>-SUM(B22:G22)+747940+473</f>
        <v>0</v>
      </c>
      <c r="I22" s="87">
        <f>-SUM(B22:H22)+750213</f>
        <v>1800</v>
      </c>
      <c r="J22" s="87">
        <f>-SUM(B22:I22)+752152-133</f>
        <v>1806</v>
      </c>
      <c r="K22" s="78">
        <f>-SUM(B22:J22)+752019</f>
        <v>0</v>
      </c>
      <c r="L22" s="78">
        <f t="shared" si="5"/>
        <v>752019</v>
      </c>
      <c r="M22" s="7">
        <v>752019</v>
      </c>
      <c r="N22" s="8">
        <f t="shared" ref="N22:N23" si="8">+L22-M22</f>
        <v>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9"/>
      <c r="IM22" s="9"/>
      <c r="IN22" s="9"/>
      <c r="IO22" s="9"/>
    </row>
    <row r="23" spans="1:254" s="10" customFormat="1" ht="15" x14ac:dyDescent="0.25">
      <c r="A23" s="85" t="s">
        <v>33</v>
      </c>
      <c r="B23" s="77">
        <v>2958</v>
      </c>
      <c r="C23" s="77">
        <f>3511-B23</f>
        <v>553</v>
      </c>
      <c r="D23" s="77">
        <f>-SUM(B23:C23)+3966</f>
        <v>455</v>
      </c>
      <c r="E23" s="77">
        <f>-SUM(B23:D23)+4477</f>
        <v>511</v>
      </c>
      <c r="F23" s="77">
        <f>-SUM(B23:E23)+5928</f>
        <v>1451</v>
      </c>
      <c r="G23" s="77">
        <f>-SUM(B23:F23)+96484</f>
        <v>90556</v>
      </c>
      <c r="H23" s="77">
        <f>-SUM(B23:G23)+96959</f>
        <v>475</v>
      </c>
      <c r="I23" s="77">
        <f>-SUM(B23:H23)+97417</f>
        <v>458</v>
      </c>
      <c r="J23" s="77">
        <f>-SUM(B23:I23)+98759</f>
        <v>1342</v>
      </c>
      <c r="K23" s="78">
        <f>-SUM(B23:J23)+99212</f>
        <v>453</v>
      </c>
      <c r="L23" s="78">
        <f t="shared" si="5"/>
        <v>99212</v>
      </c>
      <c r="M23" s="27">
        <v>99212</v>
      </c>
      <c r="N23" s="8">
        <f t="shared" si="8"/>
        <v>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9"/>
      <c r="IM23" s="9"/>
      <c r="IN23" s="9"/>
      <c r="IO23" s="9"/>
    </row>
    <row r="24" spans="1:254" s="10" customFormat="1" ht="30.75" customHeight="1" x14ac:dyDescent="0.25">
      <c r="A24" s="79" t="s">
        <v>34</v>
      </c>
      <c r="B24" s="80">
        <f t="shared" ref="B24:L24" si="9">SUM(B21:B23)</f>
        <v>6557</v>
      </c>
      <c r="C24" s="88">
        <f t="shared" si="9"/>
        <v>1381</v>
      </c>
      <c r="D24" s="80">
        <f t="shared" si="9"/>
        <v>14695</v>
      </c>
      <c r="E24" s="80">
        <f t="shared" si="9"/>
        <v>511</v>
      </c>
      <c r="F24" s="80">
        <f t="shared" si="9"/>
        <v>1562</v>
      </c>
      <c r="G24" s="80">
        <f t="shared" si="9"/>
        <v>820191</v>
      </c>
      <c r="H24" s="80">
        <f t="shared" si="9"/>
        <v>475</v>
      </c>
      <c r="I24" s="80">
        <f t="shared" si="9"/>
        <v>2258</v>
      </c>
      <c r="J24" s="80">
        <f t="shared" si="9"/>
        <v>3148</v>
      </c>
      <c r="K24" s="80">
        <f t="shared" si="9"/>
        <v>453</v>
      </c>
      <c r="L24" s="80">
        <f t="shared" si="9"/>
        <v>851231</v>
      </c>
      <c r="M24" s="84">
        <f>+M22+M23</f>
        <v>851231</v>
      </c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9"/>
      <c r="IM24" s="9"/>
      <c r="IN24" s="9"/>
      <c r="IO24" s="9"/>
    </row>
    <row r="25" spans="1:254" s="10" customFormat="1" ht="25.5" customHeight="1" x14ac:dyDescent="0.25">
      <c r="A25" s="79" t="s">
        <v>35</v>
      </c>
      <c r="B25" s="80">
        <v>4428152</v>
      </c>
      <c r="C25" s="80">
        <f>+(6474651+111604)-B25</f>
        <v>2158103</v>
      </c>
      <c r="D25" s="80">
        <f>-SUM(B25:C25)+6474651+144295</f>
        <v>32691</v>
      </c>
      <c r="E25" s="80">
        <f>-SUM(B25:D25)+6474651+170481</f>
        <v>26186</v>
      </c>
      <c r="F25" s="80">
        <f>-SUM(B25:E25)+6474651+253126</f>
        <v>82645</v>
      </c>
      <c r="G25" s="80">
        <f>-SUM(B25:F25)+6474651+276763</f>
        <v>23637</v>
      </c>
      <c r="H25" s="80">
        <f>-SUM(B25:G25)+6474651+298460</f>
        <v>21697</v>
      </c>
      <c r="I25" s="80">
        <f>-SUM(B25:H25)+4757910+6474651+322749</f>
        <v>4782199</v>
      </c>
      <c r="J25" s="80">
        <f>-SUM(B25:I25)+4757910+6474651+345590</f>
        <v>22841</v>
      </c>
      <c r="K25" s="80">
        <f>-SUM(B25:J25)+11769343</f>
        <v>191192</v>
      </c>
      <c r="L25" s="80">
        <f>SUM(B25:K25)</f>
        <v>11769343</v>
      </c>
      <c r="M25" s="7">
        <f>4757910+6474651+536782</f>
        <v>11769343</v>
      </c>
      <c r="N25" s="8">
        <f>+L25-M25</f>
        <v>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9"/>
      <c r="IM25" s="9"/>
      <c r="IN25" s="9"/>
      <c r="IO25" s="9"/>
    </row>
    <row r="26" spans="1:254" s="13" customFormat="1" ht="23.85" customHeight="1" x14ac:dyDescent="0.25">
      <c r="A26" s="82" t="s">
        <v>36</v>
      </c>
      <c r="B26" s="83">
        <f t="shared" ref="B26:K26" si="10">B20+B24+B25</f>
        <v>5832864</v>
      </c>
      <c r="C26" s="83">
        <f t="shared" si="10"/>
        <v>3163940</v>
      </c>
      <c r="D26" s="83">
        <f t="shared" si="10"/>
        <v>411672</v>
      </c>
      <c r="E26" s="83">
        <f t="shared" si="10"/>
        <v>810604</v>
      </c>
      <c r="F26" s="83">
        <f t="shared" si="10"/>
        <v>515646</v>
      </c>
      <c r="G26" s="83">
        <f t="shared" si="10"/>
        <v>1454069</v>
      </c>
      <c r="H26" s="83">
        <f t="shared" si="10"/>
        <v>830832</v>
      </c>
      <c r="I26" s="83">
        <f t="shared" si="10"/>
        <v>6327471</v>
      </c>
      <c r="J26" s="83">
        <f t="shared" si="10"/>
        <v>610351</v>
      </c>
      <c r="K26" s="83">
        <f t="shared" si="10"/>
        <v>873815</v>
      </c>
      <c r="L26" s="83">
        <f>SUM(B26:K26)</f>
        <v>20831264</v>
      </c>
      <c r="N26" s="14"/>
      <c r="IL26" s="15"/>
      <c r="IM26" s="15"/>
      <c r="IN26" s="15"/>
      <c r="IO26" s="15"/>
      <c r="IP26" s="16"/>
      <c r="IQ26" s="16"/>
      <c r="IR26" s="16"/>
      <c r="IS26" s="16"/>
      <c r="IT26" s="16"/>
    </row>
    <row r="27" spans="1:254" s="10" customFormat="1" ht="23.85" customHeight="1" x14ac:dyDescent="0.25">
      <c r="A27" s="78" t="s">
        <v>37</v>
      </c>
      <c r="B27" s="89">
        <f>B26-B14</f>
        <v>3013366</v>
      </c>
      <c r="C27" s="89">
        <f t="shared" ref="C27:K27" si="11">C26-C14+B27</f>
        <v>5172891</v>
      </c>
      <c r="D27" s="89">
        <f t="shared" si="11"/>
        <v>4911193</v>
      </c>
      <c r="E27" s="89">
        <f t="shared" si="11"/>
        <v>4829532</v>
      </c>
      <c r="F27" s="89">
        <f t="shared" si="11"/>
        <v>4443402</v>
      </c>
      <c r="G27" s="89">
        <f t="shared" si="11"/>
        <v>5111781</v>
      </c>
      <c r="H27" s="89">
        <f t="shared" si="11"/>
        <v>5172257</v>
      </c>
      <c r="I27" s="89">
        <f t="shared" si="11"/>
        <v>8083389</v>
      </c>
      <c r="J27" s="89">
        <f t="shared" si="11"/>
        <v>7915777</v>
      </c>
      <c r="K27" s="89">
        <f t="shared" si="11"/>
        <v>7236141</v>
      </c>
      <c r="L27" s="89">
        <f>+L26-L14</f>
        <v>7236141</v>
      </c>
      <c r="M27" s="7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9"/>
      <c r="IM27" s="9"/>
      <c r="IN27" s="9"/>
      <c r="IO27" s="9"/>
    </row>
    <row r="28" spans="1:254" s="10" customFormat="1" ht="23.85" hidden="1" customHeight="1" x14ac:dyDescent="0.25">
      <c r="A28" s="19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9"/>
      <c r="IM28" s="9"/>
      <c r="IN28" s="9"/>
      <c r="IO28" s="9"/>
    </row>
    <row r="29" spans="1:254" ht="18.75" hidden="1" customHeight="1" x14ac:dyDescent="0.25">
      <c r="A29" s="20" t="s">
        <v>38</v>
      </c>
      <c r="B29" s="21">
        <v>1779388</v>
      </c>
    </row>
    <row r="30" spans="1:254" ht="18.75" hidden="1" customHeight="1" x14ac:dyDescent="0.25">
      <c r="A30" s="22" t="s">
        <v>39</v>
      </c>
      <c r="B30" s="23"/>
    </row>
    <row r="31" spans="1:254" ht="18.75" hidden="1" customHeight="1" x14ac:dyDescent="0.25">
      <c r="A31" s="22" t="s">
        <v>40</v>
      </c>
      <c r="B31" s="23"/>
    </row>
    <row r="32" spans="1:254" ht="18.75" hidden="1" customHeight="1" x14ac:dyDescent="0.25">
      <c r="A32" s="22" t="s">
        <v>41</v>
      </c>
      <c r="B32" s="23"/>
    </row>
    <row r="33" spans="1:3" ht="18.75" hidden="1" customHeight="1" x14ac:dyDescent="0.25">
      <c r="A33" s="22" t="s">
        <v>40</v>
      </c>
      <c r="B33" s="23"/>
    </row>
    <row r="34" spans="1:3" ht="18.75" hidden="1" customHeight="1" x14ac:dyDescent="0.25">
      <c r="A34" s="22" t="s">
        <v>42</v>
      </c>
      <c r="B34" s="23">
        <f>+B29+B30+B31-B32-B33</f>
        <v>1779388</v>
      </c>
    </row>
    <row r="35" spans="1:3" ht="18.75" hidden="1" customHeight="1" x14ac:dyDescent="0.25">
      <c r="A35" s="24" t="s">
        <v>43</v>
      </c>
      <c r="B35" s="25">
        <v>0</v>
      </c>
    </row>
    <row r="36" spans="1:3" ht="18.75" hidden="1" customHeight="1" x14ac:dyDescent="0.25">
      <c r="A36" s="22"/>
      <c r="B36" s="23"/>
    </row>
    <row r="37" spans="1:3" ht="18.75" hidden="1" customHeight="1" x14ac:dyDescent="0.25">
      <c r="A37" s="26" t="s">
        <v>44</v>
      </c>
      <c r="B37" s="25">
        <f>+B34-B35</f>
        <v>1779388</v>
      </c>
    </row>
    <row r="38" spans="1:3" ht="18.75" hidden="1" customHeight="1" x14ac:dyDescent="0.25"/>
    <row r="39" spans="1:3" ht="18.75" hidden="1" customHeight="1" x14ac:dyDescent="0.25"/>
    <row r="40" spans="1:3" ht="18.75" hidden="1" customHeight="1" x14ac:dyDescent="0.25"/>
    <row r="41" spans="1:3" ht="18.75" customHeight="1" x14ac:dyDescent="0.25">
      <c r="C41" s="11"/>
    </row>
  </sheetData>
  <printOptions horizontalCentered="1"/>
  <pageMargins left="0.19685039370078741" right="0.19685039370078741" top="0.5703125" bottom="0.35433070866141736" header="0.15748031496062992" footer="0.15748031496062992"/>
  <pageSetup paperSize="9" scale="75" firstPageNumber="0" fitToHeight="2" orientation="landscape" r:id="rId1"/>
  <headerFooter alignWithMargins="0">
    <oddHeader>&amp;L 4. melléklet 4. tájékoztató tábla&amp;C&amp;14 2021. évi pénzeszköz felhasználás
BUDAPEST I. KERÜLET BUDAVÁRI ÖNKORMÁNYZAT ÉS INTÉZMÉNYEI ÖSSZESEN&amp;R
Adatok eFt-ban</oddHeader>
  </headerFooter>
  <rowBreaks count="1" manualBreakCount="1">
    <brk id="2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3</vt:i4>
      </vt:variant>
    </vt:vector>
  </HeadingPairs>
  <TitlesOfParts>
    <vt:vector size="7" baseType="lpstr">
      <vt:lpstr>1_Mérleg</vt:lpstr>
      <vt:lpstr>2_Ererdménykimutatás</vt:lpstr>
      <vt:lpstr>3_pénzkészlet változás </vt:lpstr>
      <vt:lpstr>4_Penzfelhaszn</vt:lpstr>
      <vt:lpstr>'1_Mérleg'!Nyomtatási_cím</vt:lpstr>
      <vt:lpstr>'3_pénzkészlet változás '!Nyomtatási_terület</vt:lpstr>
      <vt:lpstr>'4_Penzfelhaszn'!Nyomtatási_terület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</dc:creator>
  <cp:lastModifiedBy>dr. Bartos Diána Petra</cp:lastModifiedBy>
  <cp:lastPrinted>2022-05-19T11:01:13Z</cp:lastPrinted>
  <dcterms:created xsi:type="dcterms:W3CDTF">2022-04-04T16:17:01Z</dcterms:created>
  <dcterms:modified xsi:type="dcterms:W3CDTF">2022-05-19T15:59:44Z</dcterms:modified>
</cp:coreProperties>
</file>